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7cc1d67e6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énarios 2026" sheetId="1" r:id="R8d564887735e4531"/>
    <x:sheet xmlns:r="http://schemas.openxmlformats.org/officeDocument/2006/relationships" name="Factures 2026" sheetId="2" r:id="Rc74f16c39f2d46d6"/>
    <x:sheet xmlns:r="http://schemas.openxmlformats.org/officeDocument/2006/relationships" name="Résultats" sheetId="3" r:id="R9391c925b1864475"/>
    <x:sheet xmlns:r="http://schemas.openxmlformats.org/officeDocument/2006/relationships" name="Calcul" sheetId="4" r:id="R9db4aa15ad5a4188"/>
    <x:sheet xmlns:r="http://schemas.openxmlformats.org/officeDocument/2006/relationships" name="Sources" sheetId="5" r:id="R3a4266298e5645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.00"/>
    <x:numFmt numFmtId="201" formatCode="0%"/>
    <x:numFmt numFmtId="202" formatCode="#,##0"/>
    <x:numFmt numFmtId="203" formatCode="0.00%"/>
    <x:numFmt numFmtId="204" formatCode="#,##0.00;[Red](#,##0.00)"/>
    <x:numFmt numFmtId="205" formatCode="0.0%"/>
    <x:numFmt numFmtId="206" formatCode="0.000"/>
    <x:numFmt numFmtId="207" formatCode="0.0"/>
  </x:numFmts>
  <x:fonts count="5">
    <x:font>
      <x:sz val="11"/>
      <x:name val="Carlito"/>
    </x:font>
    <x:font>
      <x:sz val="11"/>
      <x:name val="Arial"/>
    </x:font>
    <x:font>
      <x:b/>
      <x:sz val="15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D59"/>
      </x:patternFill>
    </x:fill>
    <x:fill>
      <x:patternFill patternType="solid">
        <x:fgColor rgb="FFFFF1CA"/>
      </x:patternFill>
    </x:fill>
    <x:fill>
      <x:patternFill patternType="solid">
        <x:fgColor rgb="FFEAF0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4" fontId="3" fillId="2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/>
    </x:xf>
    <x:xf numFmtId="204" fontId="4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7" fontId="1" fillId="3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d84450c384032" /><Relationship Type="http://schemas.openxmlformats.org/officeDocument/2006/relationships/theme" Target="/xl/theme/theme1.xml" Id="R82b678507e0a41e4" /><Relationship Type="http://schemas.openxmlformats.org/officeDocument/2006/relationships/sharedStrings" Target="/xl/sharedStrings.xml" Id="R965201027fa744a6" /><Relationship Type="http://schemas.openxmlformats.org/officeDocument/2006/relationships/worksheet" Target="/xl/worksheets/sheet1.xml" Id="R8d564887735e4531" /><Relationship Type="http://schemas.openxmlformats.org/officeDocument/2006/relationships/worksheet" Target="/xl/worksheets/sheet2.xml" Id="Rc74f16c39f2d46d6" /><Relationship Type="http://schemas.openxmlformats.org/officeDocument/2006/relationships/worksheet" Target="/xl/worksheets/sheet3.xml" Id="R9391c925b1864475" /><Relationship Type="http://schemas.openxmlformats.org/officeDocument/2006/relationships/worksheet" Target="/xl/worksheets/sheet4.xml" Id="R9db4aa15ad5a4188" /><Relationship Type="http://schemas.openxmlformats.org/officeDocument/2006/relationships/worksheet" Target="/xl/worksheets/sheet5.xml" Id="R3a4266298e5645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1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TVA — simulation avec les factures et trajets fournis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 t="str">
        <x:v>Prix de référence : 2,30 €/L ; 11 600 km/an par voiture ; hypothèse centrale 6,5 L/100 km.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2" t="str">
        <x:v>Gains bruts sur factures ≠ solde du budget. Prix hors TVA, autres taxes et quantités inchangés.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48" customHeight="1">
      <x:c r="A7" s="6" t="str">
        <x:v>Facture énergie</x:v>
      </x:c>
      <x:c r="B7" s="6" t="str">
        <x:v>Voitures</x:v>
      </x:c>
      <x:c r="C7" s="6" t="str">
        <x:v>Énergie avant €/an</x:v>
      </x:c>
      <x:c r="D7" s="6" t="str">
        <x:v>Carburant avant €/an</x:v>
      </x:c>
      <x:c r="E7" s="6" t="str">
        <x:v>Gain factures €/an</x:v>
      </x:c>
      <x:c r="F7" s="6" t="str">
        <x:v>Gain factures €/mois</x:v>
      </x:c>
      <x:c r="G7" s="6" t="str">
        <x:v>Solde SMIC €/mois</x:v>
      </x:c>
      <x:c r="H7" s="6" t="str">
        <x:v>Solde médian €/mois</x:v>
      </x:c>
      <x:c r="I7" s="2"/>
      <x:c r="J7" s="2"/>
      <x:c r="K7" s="2"/>
      <x:c r="L7" s="2"/>
      <x:c r="M7" s="2"/>
      <x:c r="N7" s="2"/>
    </x:row>
    <x:row r="8" ht="23" customHeight="1">
      <x:c r="A8" s="2" t="str">
        <x:v>Fioul</x:v>
      </x:c>
      <x:c r="B8" s="2" t="n">
        <x:v>1</x:v>
      </x:c>
      <x:c r="C8" s="13" t="n">
        <x:f>'Factures 2026'!F5*(1+'Factures 2026'!$B$11)</x:f>
        <x:v>1800</x:v>
      </x:c>
      <x:c r="D8" s="13" t="n">
        <x:f>B8*'Factures 2026'!$B$16</x:f>
        <x:v>1734.1999999999998</x:v>
      </x:c>
      <x:c r="E8" s="13" t="n">
        <x:f>(C8+D8)*('Factures 2026'!$B$8-'Factures 2026'!$B$9)/(1+'Factures 2026'!$B$8)*'Factures 2026'!$B$12</x:f>
        <x:v>412.3233333333334</x:v>
      </x:c>
      <x:c r="F8" s="13" t="n">
        <x:f>E8/12</x:f>
        <x:v>34.36027777777778</x:v>
      </x:c>
      <x:c r="G8" s="13" t="n">
        <x:f>Calcul!I38-SUM(Calcul!I18:I20)+F8+((C8+D8)/12-SUM(Calcul!G18:G20))*(Calcul!$F$37-Calcul!$E$37)/(1+Calcul!$E$37)*Calcul!$C$10</x:f>
        <x:v>4.082290973433711</x:v>
      </x:c>
      <x:c r="H8" s="13" t="n">
        <x:f>Calcul!L38-SUM(Calcul!L18:L20)+F8+((C8+D8)/12-SUM(Calcul!J18:J20))*(Calcul!$F$37-Calcul!$E$37)/(1+Calcul!$E$37)*Calcul!$D$10</x:f>
        <x:v>-7.607813440816033</x:v>
      </x:c>
      <x:c r="I8" s="2"/>
      <x:c r="J8" s="2"/>
      <x:c r="K8" s="2"/>
      <x:c r="L8" s="2"/>
      <x:c r="M8" s="2"/>
      <x:c r="N8" s="2"/>
    </x:row>
    <x:row r="9" ht="23" customHeight="1">
      <x:c r="A9" s="2" t="str">
        <x:v>Gaz</x:v>
      </x:c>
      <x:c r="B9" s="2" t="n">
        <x:v>1</x:v>
      </x:c>
      <x:c r="C9" s="13" t="n">
        <x:f>'Factures 2026'!F6*(1+'Factures 2026'!$B$11)</x:f>
        <x:v>1900</x:v>
      </x:c>
      <x:c r="D9" s="13" t="n">
        <x:f>B9*'Factures 2026'!$B$16</x:f>
        <x:v>1734.1999999999998</x:v>
      </x:c>
      <x:c r="E9" s="13" t="n">
        <x:f>(C9+D9)*('Factures 2026'!$B$8-'Factures 2026'!$B$9)/(1+'Factures 2026'!$B$8)*'Factures 2026'!$B$12</x:f>
        <x:v>423.99</x:v>
      </x:c>
      <x:c r="F9" s="13" t="n">
        <x:f>E9/12</x:f>
        <x:v>35.3325</x:v>
      </x:c>
      <x:c r="G9" s="13" t="n">
        <x:f>Calcul!I38-SUM(Calcul!I18:I20)+F9+((C9+D9)/12-SUM(Calcul!G18:G20))*(Calcul!$F$37-Calcul!$E$37)/(1+Calcul!$E$37)*Calcul!$C$10</x:f>
        <x:v>5.123957640100377</x:v>
      </x:c>
      <x:c r="H9" s="13" t="n">
        <x:f>Calcul!L38-SUM(Calcul!L18:L20)+F9+((C9+D9)/12-SUM(Calcul!J18:J20))*(Calcul!$F$37-Calcul!$E$37)/(1+Calcul!$E$37)*Calcul!$D$10</x:f>
        <x:v>-6.566146774149367</x:v>
      </x:c>
      <x:c r="I9" s="2"/>
      <x:c r="J9" s="2"/>
      <x:c r="K9" s="2"/>
      <x:c r="L9" s="2"/>
      <x:c r="M9" s="2"/>
      <x:c r="N9" s="2"/>
    </x:row>
    <x:row r="10" ht="23" customHeight="1">
      <x:c r="A10" s="2" t="str">
        <x:v>Électricité</x:v>
      </x:c>
      <x:c r="B10" s="2" t="n">
        <x:v>1</x:v>
      </x:c>
      <x:c r="C10" s="13" t="n">
        <x:f>'Factures 2026'!F7*(1+'Factures 2026'!$B$11)</x:f>
        <x:v>2500</x:v>
      </x:c>
      <x:c r="D10" s="13" t="n">
        <x:f>B10*'Factures 2026'!$B$16</x:f>
        <x:v>1734.1999999999998</x:v>
      </x:c>
      <x:c r="E10" s="13" t="n">
        <x:f>(C10+D10)*('Factures 2026'!$B$8-'Factures 2026'!$B$9)/(1+'Factures 2026'!$B$8)*'Factures 2026'!$B$12</x:f>
        <x:v>493.99</x:v>
      </x:c>
      <x:c r="F10" s="13" t="n">
        <x:f>E10/12</x:f>
        <x:v>41.16583333333333</x:v>
      </x:c>
      <x:c r="G10" s="13" t="n">
        <x:f>Calcul!I38-SUM(Calcul!I18:I20)+F10+((C10+D10)/12-SUM(Calcul!G18:G20))*(Calcul!$F$37-Calcul!$E$37)/(1+Calcul!$E$37)*Calcul!$C$10</x:f>
        <x:v>11.373957640100372</x:v>
      </x:c>
      <x:c r="H10" s="13" t="n">
        <x:f>Calcul!L38-SUM(Calcul!L18:L20)+F10+((C10+D10)/12-SUM(Calcul!J18:J20))*(Calcul!$F$37-Calcul!$E$37)/(1+Calcul!$E$37)*Calcul!$D$10</x:f>
        <x:v>-0.31614677414937226</x:v>
      </x:c>
      <x:c r="I10" s="2"/>
      <x:c r="J10" s="2"/>
      <x:c r="K10" s="2"/>
      <x:c r="L10" s="2"/>
      <x:c r="M10" s="2"/>
      <x:c r="N10" s="2"/>
    </x:row>
    <x:row r="11" ht="23" customHeight="1">
      <x:c r="A11" s="2" t="str">
        <x:v>Fioul</x:v>
      </x:c>
      <x:c r="B11" s="2" t="n">
        <x:v>2</x:v>
      </x:c>
      <x:c r="C11" s="13" t="n">
        <x:f>'Factures 2026'!F5*(1+'Factures 2026'!$B$11)</x:f>
        <x:v>1800</x:v>
      </x:c>
      <x:c r="D11" s="13" t="n">
        <x:f>B11*'Factures 2026'!$B$16</x:f>
        <x:v>3468.3999999999996</x:v>
      </x:c>
      <x:c r="E11" s="13" t="n">
        <x:f>(C11+D11)*('Factures 2026'!$B$8-'Factures 2026'!$B$9)/(1+'Factures 2026'!$B$8)*'Factures 2026'!$B$12</x:f>
        <x:v>614.6466666666668</x:v>
      </x:c>
      <x:c r="F11" s="13" t="n">
        <x:f>E11/12</x:f>
        <x:v>51.22055555555556</x:v>
      </x:c>
      <x:c r="G11" s="13" t="n">
        <x:f>Calcul!I38-SUM(Calcul!I18:I20)+F11+((C11+D11)/12-SUM(Calcul!G18:G20))*(Calcul!$F$37-Calcul!$E$37)/(1+Calcul!$E$37)*Calcul!$C$10</x:f>
        <x:v>22.146874306767046</x:v>
      </x:c>
      <x:c r="H11" s="13" t="n">
        <x:f>Calcul!L38-SUM(Calcul!L18:L20)+F11+((C11+D11)/12-SUM(Calcul!J18:J20))*(Calcul!$F$37-Calcul!$E$37)/(1+Calcul!$E$37)*Calcul!$D$10</x:f>
        <x:v>10.456769892517302</x:v>
      </x:c>
      <x:c r="I11" s="2"/>
      <x:c r="J11" s="2"/>
      <x:c r="K11" s="2"/>
      <x:c r="L11" s="2"/>
      <x:c r="M11" s="2"/>
      <x:c r="N11" s="2"/>
    </x:row>
    <x:row r="12" ht="23" customHeight="1">
      <x:c r="A12" s="2" t="str">
        <x:v>Gaz</x:v>
      </x:c>
      <x:c r="B12" s="2" t="n">
        <x:v>2</x:v>
      </x:c>
      <x:c r="C12" s="13" t="n">
        <x:f>'Factures 2026'!F6*(1+'Factures 2026'!$B$11)</x:f>
        <x:v>1900</x:v>
      </x:c>
      <x:c r="D12" s="13" t="n">
        <x:f>B12*'Factures 2026'!$B$16</x:f>
        <x:v>3468.3999999999996</x:v>
      </x:c>
      <x:c r="E12" s="13" t="n">
        <x:f>(C12+D12)*('Factures 2026'!$B$8-'Factures 2026'!$B$9)/(1+'Factures 2026'!$B$8)*'Factures 2026'!$B$12</x:f>
        <x:v>626.3133333333334</x:v>
      </x:c>
      <x:c r="F12" s="13" t="n">
        <x:f>E12/12</x:f>
        <x:v>52.192777777777785</x:v>
      </x:c>
      <x:c r="G12" s="13" t="n">
        <x:f>Calcul!I38-SUM(Calcul!I18:I20)+F12+((C12+D12)/12-SUM(Calcul!G18:G20))*(Calcul!$F$37-Calcul!$E$37)/(1+Calcul!$E$37)*Calcul!$C$10</x:f>
        <x:v>23.18854097343371</x:v>
      </x:c>
      <x:c r="H12" s="13" t="n">
        <x:f>Calcul!L38-SUM(Calcul!L18:L20)+F12+((C12+D12)/12-SUM(Calcul!J18:J20))*(Calcul!$F$37-Calcul!$E$37)/(1+Calcul!$E$37)*Calcul!$D$10</x:f>
        <x:v>11.498436559183968</x:v>
      </x:c>
      <x:c r="I12" s="2"/>
      <x:c r="J12" s="2"/>
      <x:c r="K12" s="2"/>
      <x:c r="L12" s="2"/>
      <x:c r="M12" s="2"/>
      <x:c r="N12" s="2"/>
    </x:row>
    <x:row r="13" ht="23" customHeight="1">
      <x:c r="A13" s="2" t="str">
        <x:v>Électricité</x:v>
      </x:c>
      <x:c r="B13" s="2" t="n">
        <x:v>2</x:v>
      </x:c>
      <x:c r="C13" s="13" t="n">
        <x:f>'Factures 2026'!F7*(1+'Factures 2026'!$B$11)</x:f>
        <x:v>2500</x:v>
      </x:c>
      <x:c r="D13" s="13" t="n">
        <x:f>B13*'Factures 2026'!$B$16</x:f>
        <x:v>3468.3999999999996</x:v>
      </x:c>
      <x:c r="E13" s="13" t="n">
        <x:f>(C13+D13)*('Factures 2026'!$B$8-'Factures 2026'!$B$9)/(1+'Factures 2026'!$B$8)*'Factures 2026'!$B$12</x:f>
        <x:v>696.3133333333334</x:v>
      </x:c>
      <x:c r="F13" s="13" t="n">
        <x:f>E13/12</x:f>
        <x:v>58.02611111111111</x:v>
      </x:c>
      <x:c r="G13" s="13" t="n">
        <x:f>Calcul!I38-SUM(Calcul!I18:I20)+F13+((C13+D13)/12-SUM(Calcul!G18:G20))*(Calcul!$F$37-Calcul!$E$37)/(1+Calcul!$E$37)*Calcul!$C$10</x:f>
        <x:v>29.438540973433707</x:v>
      </x:c>
      <x:c r="H13" s="13" t="n">
        <x:f>Calcul!L38-SUM(Calcul!L18:L20)+F13+((C13+D13)/12-SUM(Calcul!J18:J20))*(Calcul!$F$37-Calcul!$E$37)/(1+Calcul!$E$37)*Calcul!$D$10</x:f>
        <x:v>17.74843655918396</x:v>
      </x:c>
      <x:c r="I13" s="2"/>
      <x:c r="J13" s="2"/>
      <x:c r="K13" s="2"/>
      <x:c r="L13" s="2"/>
      <x:c r="M13" s="2"/>
      <x:c r="N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3" customHeight="1">
      <x:c r="A16" s="2" t="str">
        <x:v>Soldes G et H : budgets maintenus à 2 800 et 3 800 €/mois ; reste des conventions de la feuille Calcul conservé.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3" customHeight="1">
      <x:c r="A17" s="2" t="str">
        <x:v>Le supplément énergie/carburant réduit les autres achats à 20 %. Il ne s’ajoute pas une seconde fois au budget.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3" customHeight="1">
      <x:c r="A18" s="2" t="str">
        <x:v>Fioul et gaz : électricité auxiliaire inconnue. Soldes conventionnels sur le périmètre retenu, pas une microsimulation complète.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3" customHeight="1">
      <x:c r="A19" s="2" t="str">
        <x:v>Les 85 % ne multiplient pas le gain d’une famille possédant une voiture ; aucun résultat national n’est déduit.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3" customHeight="1">
      <x:c r="A20" s="2" t="str">
        <x:v>Hausses futures exclues : la hausse PRVG gaz de novembre ne doit pas être appliquée mécaniquement à une année entière.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3" customHeight="1">
      <x:c r="A21" s="2" t="str">
        <x:v>Les factures fournies sont des hypothèses auteur ; le reste du panier reste fondé sur 2017, sans actualisation générale.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3" hidden="0" customWidth="1"/>
    <x:col min="2" max="2" width="18" hidden="0" customWidth="1"/>
    <x:col min="3" max="3" width="72" hidden="0" customWidth="1"/>
    <x:col min="4" max="4" width="3" hidden="0" customWidth="1"/>
    <x:col min="5" max="5" width="32" hidden="0" customWidth="1"/>
    <x:col min="6" max="6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Kilométrage et factures retenus pour la simulation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4" customHeight="1">
      <x:c r="A4" s="6" t="str">
        <x:v>Paramètre</x:v>
      </x:c>
      <x:c r="B4" s="6" t="str">
        <x:v>Valeur</x:v>
      </x:c>
      <x:c r="C4" s="6" t="str">
        <x:v>Unité et statut</x:v>
      </x:c>
      <x:c r="D4" s="2"/>
      <x:c r="E4" s="6" t="str">
        <x:v>Chauffage / facture fournie</x:v>
      </x:c>
      <x:c r="F4" s="6" t="str">
        <x:v>€/an TTC</x:v>
      </x:c>
      <x:c r="G4" s="2"/>
      <x:c r="H4" s="2"/>
      <x:c r="I4" s="2"/>
      <x:c r="J4" s="2"/>
      <x:c r="K4" s="2"/>
      <x:c r="L4" s="2"/>
      <x:c r="M4" s="2"/>
      <x:c r="N4" s="2"/>
    </x:row>
    <x:row r="5" ht="40" customHeight="1">
      <x:c r="A5" s="2" t="str">
        <x:v>Distance annuelle par voiture</x:v>
      </x:c>
      <x:c r="B5" s="25" t="n">
        <x:v>11600</x:v>
      </x:c>
      <x:c r="C5" s="18" t="str">
        <x:v>km/an — auteur</x:v>
      </x:c>
      <x:c r="D5" s="2"/>
      <x:c r="E5" s="2" t="str">
        <x:v>Fioul</x:v>
      </x:c>
      <x:c r="F5" s="25" t="n">
        <x:v>1800</x:v>
      </x:c>
      <x:c r="G5" s="2"/>
      <x:c r="H5" s="2"/>
      <x:c r="I5" s="2"/>
      <x:c r="J5" s="2"/>
      <x:c r="K5" s="2"/>
      <x:c r="L5" s="2"/>
      <x:c r="M5" s="2"/>
      <x:c r="N5" s="2"/>
    </x:row>
    <x:row r="6" ht="40" customHeight="1">
      <x:c r="A6" s="2" t="str">
        <x:v>Consommation par voiture</x:v>
      </x:c>
      <x:c r="B6" s="26" t="n">
        <x:v>6.5</x:v>
      </x:c>
      <x:c r="C6" s="18" t="str">
        <x:v>L/100 km — hypothèse ajoutée</x:v>
      </x:c>
      <x:c r="D6" s="2"/>
      <x:c r="E6" s="2" t="str">
        <x:v>Gaz</x:v>
      </x:c>
      <x:c r="F6" s="25" t="n">
        <x:v>1900</x:v>
      </x:c>
      <x:c r="G6" s="2"/>
      <x:c r="H6" s="2"/>
      <x:c r="I6" s="2"/>
      <x:c r="J6" s="2"/>
      <x:c r="K6" s="2"/>
      <x:c r="L6" s="2"/>
      <x:c r="M6" s="2"/>
      <x:c r="N6" s="2"/>
    </x:row>
    <x:row r="7" ht="40" customHeight="1">
      <x:c r="A7" s="2" t="str">
        <x:v>Prix TTC avant réforme</x:v>
      </x:c>
      <x:c r="B7" s="24" t="n">
        <x:v>2.3</x:v>
      </x:c>
      <x:c r="C7" s="18" t="str">
        <x:v>€/L — prix de référence auteur</x:v>
      </x:c>
      <x:c r="D7" s="2"/>
      <x:c r="E7" s="2" t="str">
        <x:v>Électricité</x:v>
      </x:c>
      <x:c r="F7" s="25" t="n">
        <x:v>2500</x:v>
      </x:c>
      <x:c r="G7" s="2"/>
      <x:c r="H7" s="2"/>
      <x:c r="I7" s="2"/>
      <x:c r="J7" s="2"/>
      <x:c r="K7" s="2"/>
      <x:c r="L7" s="2"/>
      <x:c r="M7" s="2"/>
      <x:c r="N7" s="2"/>
    </x:row>
    <x:row r="8" ht="40" customHeight="1">
      <x:c r="A8" s="2" t="str">
        <x:v>TVA avant</x:v>
      </x:c>
      <x:c r="B8" s="23" t="n">
        <x:v>0.2</x:v>
      </x:c>
      <x:c r="C8" s="18" t="str">
        <x:v>fraction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40" customHeight="1">
      <x:c r="A9" s="2" t="str">
        <x:v>TVA projet</x:v>
      </x:c>
      <x:c r="B9" s="23" t="n">
        <x:v>0.06</x:v>
      </x:c>
      <x:c r="C9" s="18" t="str">
        <x:v>fraction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40" customHeight="1">
      <x:c r="A10" s="2" t="str">
        <x:v>Ménages motorisés — hypothèse</x:v>
      </x:c>
      <x:c r="B10" s="23" t="n">
        <x:v>0.85</x:v>
      </x:c>
      <x:c r="C10" s="18" t="str">
        <x:v>Repère non utilisé pour réduire le gain d’une famille équipée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40" customHeight="1">
      <x:c r="A11" s="2" t="str">
        <x:v>Hausse future de la facture énergie</x:v>
      </x:c>
      <x:c r="B11" s="23" t="n">
        <x:v>0</x:v>
      </x:c>
      <x:c r="C11" s="18" t="str">
        <x:v>0 % = hausses futures exclues ; changer seulement pour un test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40" customHeight="1">
      <x:c r="A12" s="2" t="str">
        <x:v>Transmission de la baisse aux prix</x:v>
      </x:c>
      <x:c r="B12" s="23" t="n">
        <x:v>1</x:v>
      </x:c>
      <x:c r="C12" s="18" t="str">
        <x:v>fraction — scénario central 100 %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3" customHeight="1">
      <x:c r="A15" s="2" t="str">
        <x:v>Litres annuels par voiture</x:v>
      </x:c>
      <x:c r="B15" s="7" t="n">
        <x:f>B5*B6/100</x:f>
        <x:v>754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3" customHeight="1">
      <x:c r="A16" s="2" t="str">
        <x:v>Dépense annuelle par voiture</x:v>
      </x:c>
      <x:c r="B16" s="7" t="n">
        <x:f>B15*B7</x:f>
        <x:v>1734.1999999999998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3" customHeight="1">
      <x:c r="A17" s="2" t="str">
        <x:v>Prix du litre après TVA</x:v>
      </x:c>
      <x:c r="B17" s="28" t="n">
        <x:f>B7*(1+(B9-B8)/(1+B8)*B12)</x:f>
        <x:v>2.0316666666666663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3" customHeight="1">
      <x:c r="A18" s="2" t="str">
        <x:v>Économie annuelle par voiture</x:v>
      </x:c>
      <x:c r="B18" s="7" t="n">
        <x:f>B15*(B7-B17)</x:f>
        <x:v>202.3233333333335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34" customHeight="1">
      <x:c r="A21" s="6" t="str">
        <x:v>Consommation testée</x:v>
      </x:c>
      <x:c r="B21" s="6" t="str">
        <x:v>Litres/an</x:v>
      </x:c>
      <x:c r="C21" s="6" t="str">
        <x:v>Gain carburant €/an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3" customHeight="1">
      <x:c r="A22" s="7" t="n">
        <x:v>5</x:v>
      </x:c>
      <x:c r="B22" s="7" t="n">
        <x:f>$B$5*A22/100</x:f>
        <x:v>580</x:v>
      </x:c>
      <x:c r="C22" s="7" t="n">
        <x:f>B22*($B$7-$B$17)</x:f>
        <x:v>155.63333333333344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7" t="n">
        <x:v>6.5</x:v>
      </x:c>
      <x:c r="B23" s="7" t="n">
        <x:f>$B$5*A23/100</x:f>
        <x:v>754</x:v>
      </x:c>
      <x:c r="C23" s="7" t="n">
        <x:f>B23*($B$7-$B$17)</x:f>
        <x:v>202.3233333333335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7" t="n">
        <x:v>8</x:v>
      </x:c>
      <x:c r="B24" s="7" t="n">
        <x:f>$B$5*A24/100</x:f>
        <x:v>928</x:v>
      </x:c>
      <x:c r="C24" s="7" t="n">
        <x:f>B24*($B$7-$B$17)</x:f>
        <x:v>249.01333333333352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2" t="str">
        <x:v>Les trois factures sont alternatives ; elles ne sont jamais additionnées.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2" t="str">
        <x:v>Fioul et gaz : électricité auxiliaire non renseignée, donc hors du bloc chiffré.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A29" s="2" t="str">
        <x:v>Montants supposés être des factures TTC d’énergie, sans entretien, réparation ou changement de chaudière.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25" hidden="0" customWidth="1"/>
    <x:col min="3" max="3" width="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Ancienne illustration sur structure 2017 — point de comparaison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 t="str">
        <x:v>Simulation indicative : deux adultes, deux enfants ; structure moyenne des couples avec enfants en 2017.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2" t="str">
        <x:v>Les résultats ne sont ni une moyenne observée en 2026, ni une microsimulation selon les revenus.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4" customHeight="1">
      <x:c r="A7" s="6" t="str">
        <x:v>Repère mensuel</x:v>
      </x:c>
      <x:c r="B7" s="6" t="str">
        <x:v>Deux SMIC</x:v>
      </x:c>
      <x:c r="C7" s="6" t="str">
        <x:v>Deux salaires médians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3" customHeight="1">
      <x:c r="A8" s="2" t="str">
        <x:v>Salaires nets cumulés avant IR</x:v>
      </x:c>
      <x:c r="B8" s="13" t="n">
        <x:f>Calcul!C7</x:f>
        <x:v>2955.86</x:v>
      </x:c>
      <x:c r="C8" s="13" t="n">
        <x:f>Calcul!D7</x:f>
        <x:v>4380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3" customHeight="1">
      <x:c r="A9" s="2" t="str">
        <x:v>Budget de consommation supposé</x:v>
      </x:c>
      <x:c r="B9" s="13" t="n">
        <x:f>Calcul!C8</x:f>
        <x:v>2800</x:v>
      </x:c>
      <x:c r="C9" s="13" t="n">
        <x:f>Calcul!D8</x:f>
        <x:v>3800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3" customHeight="1">
      <x:c r="A10" s="2" t="str">
        <x:v>Économies sur énergie et carburants</x:v>
      </x:c>
      <x:c r="B10" s="13" t="n">
        <x:f>SUM(Calcul!I18:I20)</x:f>
        <x:v>27.77197507543645</x:v>
      </x:c>
      <x:c r="C10" s="13" t="n">
        <x:f>SUM(Calcul!L18:L20)</x:f>
        <x:v>37.69053760237805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3" customHeight="1">
      <x:c r="A11" s="2" t="str">
        <x:v>Surcoût alimentaire conventionnel</x:v>
      </x:c>
      <x:c r="B11" s="13" t="n">
        <x:f>Calcul!I17</x:f>
        <x:v>-2.1261630034474024</x:v>
      </x:c>
      <x:c r="C11" s="13" t="n">
        <x:f>Calcul!L17</x:f>
        <x:v>-2.885506933250099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3" customHeight="1">
      <x:c r="A12" s="2" t="str">
        <x:v>Autres surcoûts conventionnels</x:v>
      </x:c>
      <x:c r="B12" s="13" t="n">
        <x:f>Calcul!I38-SUM(Calcul!I18:I20)-Calcul!I17</x:f>
        <x:v>-28.592762388985445</x:v>
      </x:c>
      <x:c r="C12" s="13" t="n">
        <x:f>Calcul!L38-SUM(Calcul!L18:L20)-Calcul!L17</x:f>
        <x:v>-38.80446324219436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3" customHeight="1">
      <x:c r="A13" s="20" t="str">
        <x:v>Solde mensuel indicatif</x:v>
      </x:c>
      <x:c r="B13" s="21" t="n">
        <x:f>Calcul!I38</x:f>
        <x:v>-2.9469503169963964</x:v>
      </x:c>
      <x:c r="C13" s="21" t="n">
        <x:f>Calcul!L38</x:f>
        <x:v>-3.9994325730664038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3" customHeight="1">
      <x:c r="A14" s="20" t="str">
        <x:v>Solde annuel indicatif</x:v>
      </x:c>
      <x:c r="B14" s="21" t="n">
        <x:f>B13*12</x:f>
        <x:v>-35.36340380395676</x:v>
      </x:c>
      <x:c r="C14" s="21" t="n">
        <x:f>C13*12</x:f>
        <x:v>-47.993190876796845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3" customHeight="1">
      <x:c r="A15" s="2"/>
      <x:c r="B15" s="13"/>
      <x:c r="C15" s="13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3" customHeight="1">
      <x:c r="A16" s="2"/>
      <x:c r="B16" s="13"/>
      <x:c r="C16" s="13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34" customHeight="1">
      <x:c r="A17" s="6" t="str">
        <x:v>Autres situations et conventions</x:v>
      </x:c>
      <x:c r="B17" s="19" t="str">
        <x:v>Deux SMIC</x:v>
      </x:c>
      <x:c r="C17" s="19" t="str">
        <x:v>Deux salaires médians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42" customHeight="1">
      <x:c r="A18" s="18" t="str">
        <x:v>Baisses répercutées à 50 %, hausses à 100 %</x:v>
      </x:c>
      <x:c r="B18" s="13" t="n">
        <x:f>Calcul!C44</x:f>
        <x:v>-16.832937854714622</x:v>
      </x:c>
      <x:c r="C18" s="13" t="n">
        <x:f>Calcul!D44</x:f>
        <x:v>-22.844701374255433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42" customHeight="1">
      <x:c r="A19" s="18" t="str">
        <x:v>Sans carburant</x:v>
      </x:c>
      <x:c r="B19" s="13" t="n">
        <x:f>Calcul!C45</x:f>
        <x:v>-18.22924298596891</x:v>
      </x:c>
      <x:c r="C19" s="13" t="n">
        <x:f>Calcul!D45</x:f>
        <x:v>-24.739686909529098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42" customHeight="1">
      <x:c r="A20" s="18" t="str">
        <x:v>Énergie et carburant élevés</x:v>
      </x:c>
      <x:c r="B20" s="13" t="n">
        <x:f>Calcul!C46</x:f>
        <x:v>23.51770764010038</x:v>
      </x:c>
      <x:c r="C20" s="13" t="n">
        <x:f>Calcul!D46</x:f>
        <x:v>24.327603225850645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42" customHeight="1">
      <x:c r="A21" s="18" t="str">
        <x:v>Carburant : seulement 90 % du poste éligible</x:v>
      </x:c>
      <x:c r="B21" s="13" t="n">
        <x:f>Calcul!C47</x:f>
        <x:v>-4.475179583893647</x:v>
      </x:c>
      <x:c r="C21" s="13" t="n">
        <x:f>Calcul!D47</x:f>
        <x:v>-6.0734580067126736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42" customHeight="1">
      <x:c r="A22" s="18" t="str">
        <x:v>Eau et culture : départ conventionnel à 10 %</x:v>
      </x:c>
      <x:c r="B22" s="13" t="n">
        <x:f>Calcul!C48</x:f>
        <x:v>0.3670479498605663</x:v>
      </x:c>
      <x:c r="C22" s="13" t="n">
        <x:f>Calcul!D48</x:f>
        <x:v>0.49813650338233195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2" t="str">
        <x:v>Lecture : un résultat positif est une économie ; un résultat négatif est un surcoût.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2" t="str">
        <x:v>Hypothèse centrale : prix hors TVA et autres taxes constants, quantités inchangées, transmission intégrale.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2" t="str">
        <x:v>Santé : aucun gain retenu faute de ventilation. Les soins exonérés ne sont pas taxés à 2,1 %.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2" t="str">
        <x:v>Eau, culture, première nécessité et autres postes mixtes restent à préciser : lire Sources.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44" hidden="0" customWidth="1"/>
    <x:col min="2" max="2" width="23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Hypothèses et calcul poste par poste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4" customHeight="1">
      <x:c r="A4" s="6" t="str">
        <x:v>Paramètre</x:v>
      </x:c>
      <x:c r="B4" s="6" t="str">
        <x:v>Unité</x:v>
      </x:c>
      <x:c r="C4" s="6" t="str">
        <x:v>Deux SMIC</x:v>
      </x:c>
      <x:c r="D4" s="6" t="str">
        <x:v>Deux salaires médians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2" t="str">
        <x:v>Salaire net individuel de référence</x:v>
      </x:c>
      <x:c r="B5" s="2" t="str">
        <x:v>€/mois</x:v>
      </x:c>
      <x:c r="C5" s="7" t="n">
        <x:v>1477.93</x:v>
      </x:c>
      <x:c r="D5" s="7" t="n">
        <x:v>2190</x:v>
      </x:c>
      <x:c r="E5" s="2"/>
      <x:c r="F5" s="2" t="str">
        <x:v>Budgets supposés, pas de revenu disponible simulé. Ni IR, ni prestations, ni épargne recalculés.</x:v>
      </x:c>
      <x:c r="G5" s="2"/>
      <x:c r="H5" s="2"/>
      <x:c r="I5" s="2"/>
      <x:c r="J5" s="2"/>
      <x:c r="K5" s="2"/>
      <x:c r="L5" s="2"/>
      <x:c r="M5" s="2"/>
      <x:c r="N5" s="2"/>
    </x:row>
    <x:row r="6" ht="23" customHeight="1">
      <x:c r="A6" s="2" t="str">
        <x:v>Nombre de salariés</x:v>
      </x:c>
      <x:c r="B6" s="2" t="str">
        <x:v>personnes</x:v>
      </x:c>
      <x:c r="C6" s="7" t="n">
        <x:v>2</x:v>
      </x:c>
      <x:c r="D6" s="7" t="n">
        <x:v>2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3" customHeight="1">
      <x:c r="A7" s="2" t="str">
        <x:v>Salaires cumulés avant IR</x:v>
      </x:c>
      <x:c r="B7" s="2" t="str">
        <x:v>€/mois</x:v>
      </x:c>
      <x:c r="C7" s="7" t="n">
        <x:f>C5*C6</x:f>
        <x:v>2955.86</x:v>
      </x:c>
      <x:c r="D7" s="7" t="n">
        <x:f>D5*D6</x:f>
        <x:v>4380</x:v>
      </x:c>
      <x:c r="E7" s="2"/>
      <x:c r="F7" s="2" t="str">
        <x:v>Poids de dépenses de 2017 ; aucune actualisation des prix ou comportements en 2026.</x:v>
      </x:c>
      <x:c r="G7" s="2"/>
      <x:c r="H7" s="2"/>
      <x:c r="I7" s="2"/>
      <x:c r="J7" s="2"/>
      <x:c r="K7" s="2"/>
      <x:c r="L7" s="2"/>
      <x:c r="M7" s="2"/>
      <x:c r="N7" s="2"/>
    </x:row>
    <x:row r="8" ht="23" customHeight="1">
      <x:c r="A8" s="2" t="str">
        <x:v>Budget de consommation supposé</x:v>
      </x:c>
      <x:c r="B8" s="2" t="str">
        <x:v>€/mois</x:v>
      </x:c>
      <x:c r="C8" s="9" t="n">
        <x:v>2800</x:v>
      </x:c>
      <x:c r="D8" s="9" t="n">
        <x:v>3800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3" customHeight="1">
      <x:c r="A9" s="2" t="str">
        <x:v>Transmission des baisses aux prix</x:v>
      </x:c>
      <x:c r="B9" s="2" t="str">
        <x:v>fraction</x:v>
      </x:c>
      <x:c r="C9" s="10" t="n">
        <x:v>1</x:v>
      </x:c>
      <x:c r="D9" s="10" t="n">
        <x:v>1</x:v>
      </x:c>
      <x:c r="E9" s="2"/>
      <x:c r="F9" s="2" t="str">
        <x:v>Valeurs jaunes modifiables ; coefficients et taux détaillés ci-dessous également modifiables.</x:v>
      </x:c>
      <x:c r="G9" s="2"/>
      <x:c r="H9" s="2"/>
      <x:c r="I9" s="2"/>
      <x:c r="J9" s="2"/>
      <x:c r="K9" s="2"/>
      <x:c r="L9" s="2"/>
      <x:c r="M9" s="2"/>
      <x:c r="N9" s="2"/>
    </x:row>
    <x:row r="10" ht="23" customHeight="1">
      <x:c r="A10" s="2" t="str">
        <x:v>Transmission des hausses aux prix</x:v>
      </x:c>
      <x:c r="B10" s="2" t="str">
        <x:v>fraction</x:v>
      </x:c>
      <x:c r="C10" s="10" t="n">
        <x:v>1</x:v>
      </x:c>
      <x:c r="D10" s="10" t="n">
        <x:v>1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3" customHeight="1">
      <x:c r="A11" s="2" t="str">
        <x:v>Variante forte facture énergie</x:v>
      </x:c>
      <x:c r="B11" s="2" t="str">
        <x:v>€/mois</x:v>
      </x:c>
      <x:c r="C11" s="9" t="n">
        <x:v>250</x:v>
      </x:c>
      <x:c r="D11" s="9" t="n">
        <x:v>300</x:v>
      </x:c>
      <x:c r="E11" s="2"/>
      <x:c r="F11" s="2" t="str">
        <x:v>Les conventions fiscales simplifient plusieurs postes mixtes : lire Sources.</x:v>
      </x:c>
      <x:c r="G11" s="2"/>
      <x:c r="H11" s="2"/>
      <x:c r="I11" s="2"/>
      <x:c r="J11" s="2"/>
      <x:c r="K11" s="2"/>
      <x:c r="L11" s="2"/>
      <x:c r="M11" s="2"/>
      <x:c r="N11" s="2"/>
    </x:row>
    <x:row r="12" ht="23" customHeight="1">
      <x:c r="A12" s="2" t="str">
        <x:v>Variante forte dépense carburant</x:v>
      </x:c>
      <x:c r="B12" s="2" t="str">
        <x:v>€/mois</x:v>
      </x:c>
      <x:c r="C12" s="9" t="n">
        <x:v>200</x:v>
      </x:c>
      <x:c r="D12" s="9" t="n">
        <x:v>250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34" customHeight="1">
      <x:c r="A16" s="6" t="str">
        <x:v>Poste</x:v>
      </x:c>
      <x:c r="B16" s="6" t="str">
        <x:v>Code Insee</x:v>
      </x:c>
      <x:c r="C16" s="6" t="str">
        <x:v>€/an 2017</x:v>
      </x:c>
      <x:c r="D16" s="6" t="str">
        <x:v>Poids</x:v>
      </x:c>
      <x:c r="E16" s="6" t="str">
        <x:v>TVA départ</x:v>
      </x:c>
      <x:c r="F16" s="6" t="str">
        <x:v>TVA projet</x:v>
      </x:c>
      <x:c r="G16" s="6" t="str">
        <x:v>Avant SMIC</x:v>
      </x:c>
      <x:c r="H16" s="6" t="str">
        <x:v>Après SMIC</x:v>
      </x:c>
      <x:c r="I16" s="6" t="str">
        <x:v>Gain SMIC</x:v>
      </x:c>
      <x:c r="J16" s="6" t="str">
        <x:v>Avant médian</x:v>
      </x:c>
      <x:c r="K16" s="6" t="str">
        <x:v>Après médian</x:v>
      </x:c>
      <x:c r="L16" s="6" t="str">
        <x:v>Gain médian</x:v>
      </x:c>
      <x:c r="M16" s="2"/>
      <x:c r="N16" s="2"/>
    </x:row>
    <x:row r="17" ht="35" customHeight="1">
      <x:c r="A17" s="18" t="str">
        <x:v>Alimentation et boissons sans alcool</x:v>
      </x:c>
      <x:c r="B17" s="18" t="str">
        <x:v>COICOP 01</x:v>
      </x:c>
      <x:c r="C17" s="11" t="n">
        <x:v>6161</x:v>
      </x:c>
      <x:c r="D17" s="12" t="n">
        <x:f>C17/SUM($C$17:$C$37)</x:f>
        <x:v>0.1602215691883598</x:v>
      </x:c>
      <x:c r="E17" s="12" t="n">
        <x:v>0.055</x:v>
      </x:c>
      <x:c r="F17" s="12" t="n">
        <x:v>0.06</x:v>
      </x:c>
      <x:c r="G17" s="13" t="n">
        <x:f>$C$8*D17</x:f>
        <x:v>448.6203937274075</x:v>
      </x:c>
      <x:c r="H17" s="13" t="n">
        <x:f>G17*(1+(F17-E17)/(1+E17)*IF(F17&lt;E17,$C$9,$C$10))</x:f>
        <x:v>450.7465567308549</x:v>
      </x:c>
      <x:c r="I17" s="13" t="n">
        <x:f>G17-H17</x:f>
        <x:v>-2.1261630034474024</x:v>
      </x:c>
      <x:c r="J17" s="13" t="n">
        <x:f>$D$8*D17</x:f>
        <x:v>608.8419629157672</x:v>
      </x:c>
      <x:c r="K17" s="13" t="n">
        <x:f>J17*(1+(F17-E17)/(1+E17)*IF(F17&lt;E17,$D$9,$D$10))</x:f>
        <x:v>611.7274698490173</x:v>
      </x:c>
      <x:c r="L17" s="13" t="n">
        <x:f>J17-K17</x:f>
        <x:v>-2.885506933250099</x:v>
      </x:c>
      <x:c r="M17" s="2"/>
      <x:c r="N17" s="2"/>
    </x:row>
    <x:row r="18" ht="35" customHeight="1">
      <x:c r="A18" s="18" t="str">
        <x:v>Énergie logement hors combustibles solides</x:v>
      </x:c>
      <x:c r="B18" s="18" t="str">
        <x:v>COICOP 045 − 045A</x:v>
      </x:c>
      <x:c r="C18" s="11" t="n">
        <x:v>1568</x:v>
      </x:c>
      <x:c r="D18" s="12" t="n">
        <x:f>C18/SUM($C$17:$C$37)</x:f>
        <x:v>0.040777052505656254</x:v>
      </x:c>
      <x:c r="E18" s="12" t="n">
        <x:v>0.2</x:v>
      </x:c>
      <x:c r="F18" s="12" t="n">
        <x:v>0.06</x:v>
      </x:c>
      <x:c r="G18" s="13" t="n">
        <x:f>$C$8*D18</x:f>
        <x:v>114.17574701583752</x:v>
      </x:c>
      <x:c r="H18" s="13" t="n">
        <x:f>G18*(1+(F18-E18)/(1+E18)*IF(F18&lt;E18,$C$9,$C$10))</x:f>
        <x:v>100.85524319732313</x:v>
      </x:c>
      <x:c r="I18" s="13" t="n">
        <x:f>G18-H18</x:f>
        <x:v>13.320503818514382</x:v>
      </x:c>
      <x:c r="J18" s="13" t="n">
        <x:f>$D$8*D18</x:f>
        <x:v>154.95279952149377</x:v>
      </x:c>
      <x:c r="K18" s="13" t="n">
        <x:f>J18*(1+(F18-E18)/(1+E18)*IF(F18&lt;E18,$D$9,$D$10))</x:f>
        <x:v>136.87497291065282</x:v>
      </x:c>
      <x:c r="L18" s="13" t="n">
        <x:f>J18-K18</x:f>
        <x:v>18.077826610840958</x:v>
      </x:c>
      <x:c r="M18" s="2"/>
      <x:c r="N18" s="2"/>
    </x:row>
    <x:row r="19" ht="35" customHeight="1">
      <x:c r="A19" s="18" t="str">
        <x:v>Combustibles solides</x:v>
      </x:c>
      <x:c r="B19" s="18" t="str">
        <x:v>COICOP 045A</x:v>
      </x:c>
      <x:c r="C19" s="11" t="n">
        <x:v>71</x:v>
      </x:c>
      <x:c r="D19" s="12" t="n">
        <x:f>C19/SUM($C$17:$C$37)</x:f>
        <x:v>0.0018464099029984657</x:v>
      </x:c>
      <x:c r="E19" s="12" t="n">
        <x:v>0.1</x:v>
      </x:c>
      <x:c r="F19" s="12" t="n">
        <x:v>0.06</x:v>
      </x:c>
      <x:c r="G19" s="13" t="n">
        <x:f>$C$8*D19</x:f>
        <x:v>5.169947728395704</x:v>
      </x:c>
      <x:c r="H19" s="13" t="n">
        <x:f>G19*(1+(F19-E19)/(1+E19)*IF(F19&lt;E19,$C$9,$C$10))</x:f>
        <x:v>4.981949629181315</x:v>
      </x:c>
      <x:c r="I19" s="13" t="n">
        <x:f>G19-H19</x:f>
        <x:v>0.18799809921438904</x:v>
      </x:c>
      <x:c r="J19" s="13" t="n">
        <x:f>$D$8*D19</x:f>
        <x:v>7.01635763139417</x:v>
      </x:c>
      <x:c r="K19" s="13" t="n">
        <x:f>J19*(1+(F19-E19)/(1+E19)*IF(F19&lt;E19,$D$9,$D$10))</x:f>
        <x:v>6.761217353888927</x:v>
      </x:c>
      <x:c r="L19" s="13" t="n">
        <x:f>J19-K19</x:f>
        <x:v>0.2551402775052427</x:v>
      </x:c>
      <x:c r="M19" s="2"/>
      <x:c r="N19" s="2"/>
    </x:row>
    <x:row r="20" ht="35" customHeight="1">
      <x:c r="A20" s="18" t="str">
        <x:v>Carburants et lubrifiants</x:v>
      </x:c>
      <x:c r="B20" s="18" t="str">
        <x:v>COICOP 0722</x:v>
      </x:c>
      <x:c r="C20" s="11" t="n">
        <x:v>1679</x:v>
      </x:c>
      <x:c r="D20" s="12" t="n">
        <x:f>C20/SUM($C$17:$C$37)</x:f>
        <x:v>0.04366369333992146</x:v>
      </x:c>
      <x:c r="E20" s="12" t="n">
        <x:v>0.2</x:v>
      </x:c>
      <x:c r="F20" s="12" t="n">
        <x:v>0.06</x:v>
      </x:c>
      <x:c r="G20" s="13" t="n">
        <x:f>$C$8*D20</x:f>
        <x:v>122.25834135178009</x:v>
      </x:c>
      <x:c r="H20" s="13" t="n">
        <x:f>G20*(1+(F20-E20)/(1+E20)*IF(F20&lt;E20,$C$9,$C$10))</x:f>
        <x:v>107.99486819407241</x:v>
      </x:c>
      <x:c r="I20" s="13" t="n">
        <x:f>G20-H20</x:f>
        <x:v>14.26347315770768</x:v>
      </x:c>
      <x:c r="J20" s="13" t="n">
        <x:f>$D$8*D20</x:f>
        <x:v>165.92203469170155</x:v>
      </x:c>
      <x:c r="K20" s="13" t="n">
        <x:f>J20*(1+(F20-E20)/(1+E20)*IF(F20&lt;E20,$D$9,$D$10))</x:f>
        <x:v>146.5644639776697</x:v>
      </x:c>
      <x:c r="L20" s="13" t="n">
        <x:f>J20-K20</x:f>
        <x:v>19.35757071403185</x:v>
      </x:c>
      <x:c r="M20" s="2"/>
      <x:c r="N20" s="2"/>
    </x:row>
    <x:row r="21" ht="35" customHeight="1">
      <x:c r="A21" s="18" t="str">
        <x:v>Santé à la charge des ménages</x:v>
      </x:c>
      <x:c r="B21" s="18" t="str">
        <x:v>COICOP 06</x:v>
      </x:c>
      <x:c r="C21" s="11" t="n">
        <x:v>679</x:v>
      </x:c>
      <x:c r="D21" s="12" t="n">
        <x:f>C21/SUM($C$17:$C$37)</x:f>
        <x:v>0.01765792005825293</x:v>
      </x:c>
      <x:c r="E21" s="12" t="n">
        <x:v>0</x:v>
      </x:c>
      <x:c r="F21" s="12" t="n">
        <x:v>0</x:v>
      </x:c>
      <x:c r="G21" s="13" t="n">
        <x:f>$C$8*D21</x:f>
        <x:v>49.44217616310821</x:v>
      </x:c>
      <x:c r="H21" s="13" t="n">
        <x:f>G21*(1+(F21-E21)/(1+E21)*IF(F21&lt;E21,$C$9,$C$10))</x:f>
        <x:v>49.44217616310821</x:v>
      </x:c>
      <x:c r="I21" s="13" t="n">
        <x:f>G21-H21</x:f>
        <x:v>0</x:v>
      </x:c>
      <x:c r="J21" s="13" t="n">
        <x:f>$D$8*D21</x:f>
        <x:v>67.10009622136114</x:v>
      </x:c>
      <x:c r="K21" s="13" t="n">
        <x:f>J21*(1+(F21-E21)/(1+E21)*IF(F21&lt;E21,$D$9,$D$10))</x:f>
        <x:v>67.10009622136114</x:v>
      </x:c>
      <x:c r="L21" s="13" t="n">
        <x:f>J21-K21</x:f>
        <x:v>0</x:v>
      </x:c>
      <x:c r="M21" s="2"/>
      <x:c r="N21" s="2"/>
    </x:row>
    <x:row r="22" ht="35" customHeight="1">
      <x:c r="A22" s="18" t="str">
        <x:v>Loyers nets des aides</x:v>
      </x:c>
      <x:c r="B22" s="18" t="str">
        <x:v>COICOP 041</x:v>
      </x:c>
      <x:c r="C22" s="11" t="n">
        <x:v>2027</x:v>
      </x:c>
      <x:c r="D22" s="12" t="n">
        <x:f>C22/SUM($C$17:$C$37)</x:f>
        <x:v>0.05271370244194211</x:v>
      </x:c>
      <x:c r="E22" s="12" t="n">
        <x:v>0</x:v>
      </x:c>
      <x:c r="F22" s="12" t="n">
        <x:v>0</x:v>
      </x:c>
      <x:c r="G22" s="13" t="n">
        <x:f>$C$8*D22</x:f>
        <x:v>147.5983668374379</x:v>
      </x:c>
      <x:c r="H22" s="13" t="n">
        <x:f>G22*(1+(F22-E22)/(1+E22)*IF(F22&lt;E22,$C$9,$C$10))</x:f>
        <x:v>147.5983668374379</x:v>
      </x:c>
      <x:c r="I22" s="13" t="n">
        <x:f>G22-H22</x:f>
        <x:v>0</x:v>
      </x:c>
      <x:c r="J22" s="13" t="n">
        <x:f>$D$8*D22</x:f>
        <x:v>200.31206927938</x:v>
      </x:c>
      <x:c r="K22" s="13" t="n">
        <x:f>J22*(1+(F22-E22)/(1+E22)*IF(F22&lt;E22,$D$9,$D$10))</x:f>
        <x:v>200.31206927938</x:v>
      </x:c>
      <x:c r="L22" s="13" t="n">
        <x:f>J22-K22</x:f>
        <x:v>0</x:v>
      </x:c>
      <x:c r="M22" s="2"/>
      <x:c r="N22" s="2"/>
    </x:row>
    <x:row r="23" ht="35" customHeight="1">
      <x:c r="A23" s="18" t="str">
        <x:v>Charges collectives du logement</x:v>
      </x:c>
      <x:c r="B23" s="18" t="str">
        <x:v>COICOP 0444</x:v>
      </x:c>
      <x:c r="C23" s="11" t="n">
        <x:v>525</x:v>
      </x:c>
      <x:c r="D23" s="12" t="n">
        <x:f>C23/SUM($C$17:$C$37)</x:f>
        <x:v>0.013653030972875978</x:v>
      </x:c>
      <x:c r="E23" s="12" t="n">
        <x:v>0</x:v>
      </x:c>
      <x:c r="F23" s="12" t="n">
        <x:v>0</x:v>
      </x:c>
      <x:c r="G23" s="13" t="n">
        <x:f>$C$8*D23</x:f>
        <x:v>38.228486724052736</x:v>
      </x:c>
      <x:c r="H23" s="13" t="n">
        <x:f>G23*(1+(F23-E23)/(1+E23)*IF(F23&lt;E23,$C$9,$C$10))</x:f>
        <x:v>38.228486724052736</x:v>
      </x:c>
      <x:c r="I23" s="13" t="n">
        <x:f>G23-H23</x:f>
        <x:v>0</x:v>
      </x:c>
      <x:c r="J23" s="13" t="n">
        <x:f>$D$8*D23</x:f>
        <x:v>51.88151769692872</x:v>
      </x:c>
      <x:c r="K23" s="13" t="n">
        <x:f>J23*(1+(F23-E23)/(1+E23)*IF(F23&lt;E23,$D$9,$D$10))</x:f>
        <x:v>51.88151769692872</x:v>
      </x:c>
      <x:c r="L23" s="13" t="n">
        <x:f>J23-K23</x:f>
        <x:v>0</x:v>
      </x:c>
      <x:c r="M23" s="2"/>
      <x:c r="N23" s="2"/>
    </x:row>
    <x:row r="24" ht="35" customHeight="1">
      <x:c r="A24" s="18" t="str">
        <x:v>Assurances</x:v>
      </x:c>
      <x:c r="B24" s="18" t="str">
        <x:v>COICOP 125</x:v>
      </x:c>
      <x:c r="C24" s="11" t="n">
        <x:v>2889</x:v>
      </x:c>
      <x:c r="D24" s="12" t="n">
        <x:f>C24/SUM($C$17:$C$37)</x:f>
        <x:v>0.07513067901074039</x:v>
      </x:c>
      <x:c r="E24" s="12" t="n">
        <x:v>0</x:v>
      </x:c>
      <x:c r="F24" s="12" t="n">
        <x:v>0</x:v>
      </x:c>
      <x:c r="G24" s="13" t="n">
        <x:f>$C$8*D24</x:f>
        <x:v>210.3659012300731</x:v>
      </x:c>
      <x:c r="H24" s="13" t="n">
        <x:f>G24*(1+(F24-E24)/(1+E24)*IF(F24&lt;E24,$C$9,$C$10))</x:f>
        <x:v>210.3659012300731</x:v>
      </x:c>
      <x:c r="I24" s="13" t="n">
        <x:f>G24-H24</x:f>
        <x:v>0</x:v>
      </x:c>
      <x:c r="J24" s="13" t="n">
        <x:f>$D$8*D24</x:f>
        <x:v>285.49658024081344</x:v>
      </x:c>
      <x:c r="K24" s="13" t="n">
        <x:f>J24*(1+(F24-E24)/(1+E24)*IF(F24&lt;E24,$D$9,$D$10))</x:f>
        <x:v>285.49658024081344</x:v>
      </x:c>
      <x:c r="L24" s="13" t="n">
        <x:f>J24-K24</x:f>
        <x:v>0</x:v>
      </x:c>
      <x:c r="M24" s="2"/>
      <x:c r="N24" s="2"/>
    </x:row>
    <x:row r="25" ht="35" customHeight="1">
      <x:c r="A25" s="18" t="str">
        <x:v>Services financiers</x:v>
      </x:c>
      <x:c r="B25" s="18" t="str">
        <x:v>COICOP 126</x:v>
      </x:c>
      <x:c r="C25" s="11" t="n">
        <x:v>201</x:v>
      </x:c>
      <x:c r="D25" s="12" t="n">
        <x:f>C25/SUM($C$17:$C$37)</x:f>
        <x:v>0.005227160429615374</x:v>
      </x:c>
      <x:c r="E25" s="12" t="n">
        <x:v>0</x:v>
      </x:c>
      <x:c r="F25" s="12" t="n">
        <x:v>0</x:v>
      </x:c>
      <x:c r="G25" s="13" t="n">
        <x:f>$C$8*D25</x:f>
        <x:v>14.636049202923049</x:v>
      </x:c>
      <x:c r="H25" s="13" t="n">
        <x:f>G25*(1+(F25-E25)/(1+E25)*IF(F25&lt;E25,$C$9,$C$10))</x:f>
        <x:v>14.636049202923049</x:v>
      </x:c>
      <x:c r="I25" s="13" t="n">
        <x:f>G25-H25</x:f>
        <x:v>0</x:v>
      </x:c>
      <x:c r="J25" s="13" t="n">
        <x:f>$D$8*D25</x:f>
        <x:v>19.86320963253842</x:v>
      </x:c>
      <x:c r="K25" s="13" t="n">
        <x:f>J25*(1+(F25-E25)/(1+E25)*IF(F25&lt;E25,$D$9,$D$10))</x:f>
        <x:v>19.86320963253842</x:v>
      </x:c>
      <x:c r="L25" s="13" t="n">
        <x:f>J25-K25</x:f>
        <x:v>0</x:v>
      </x:c>
      <x:c r="M25" s="2"/>
      <x:c r="N25" s="2"/>
    </x:row>
    <x:row r="26" ht="35" customHeight="1">
      <x:c r="A26" s="18" t="str">
        <x:v>Enseignement</x:v>
      </x:c>
      <x:c r="B26" s="18" t="str">
        <x:v>COICOP 10</x:v>
      </x:c>
      <x:c r="C26" s="11" t="n">
        <x:v>509</x:v>
      </x:c>
      <x:c r="D26" s="12" t="n">
        <x:f>C26/SUM($C$17:$C$37)</x:f>
        <x:v>0.013236938600369282</x:v>
      </x:c>
      <x:c r="E26" s="12" t="n">
        <x:v>0</x:v>
      </x:c>
      <x:c r="F26" s="12" t="n">
        <x:v>0</x:v>
      </x:c>
      <x:c r="G26" s="13" t="n">
        <x:f>$C$8*D26</x:f>
        <x:v>37.06342808103399</x:v>
      </x:c>
      <x:c r="H26" s="13" t="n">
        <x:f>G26*(1+(F26-E26)/(1+E26)*IF(F26&lt;E26,$C$9,$C$10))</x:f>
        <x:v>37.06342808103399</x:v>
      </x:c>
      <x:c r="I26" s="13" t="n">
        <x:f>G26-H26</x:f>
        <x:v>0</x:v>
      </x:c>
      <x:c r="J26" s="13" t="n">
        <x:f>$D$8*D26</x:f>
        <x:v>50.300366681403275</x:v>
      </x:c>
      <x:c r="K26" s="13" t="n">
        <x:f>J26*(1+(F26-E26)/(1+E26)*IF(F26&lt;E26,$D$9,$D$10))</x:f>
        <x:v>50.300366681403275</x:v>
      </x:c>
      <x:c r="L26" s="13" t="n">
        <x:f>J26-K26</x:f>
        <x:v>0</x:v>
      </x:c>
      <x:c r="M26" s="2"/>
      <x:c r="N26" s="2"/>
    </x:row>
    <x:row r="27" ht="35" customHeight="1">
      <x:c r="A27" s="18" t="str">
        <x:v>Protection sociale et garde</x:v>
      </x:c>
      <x:c r="B27" s="18" t="str">
        <x:v>COICOP 124</x:v>
      </x:c>
      <x:c r="C27" s="11" t="n">
        <x:v>960</x:v>
      </x:c>
      <x:c r="D27" s="12" t="n">
        <x:f>C27/SUM($C$17:$C$37)</x:f>
        <x:v>0.024965542350401788</x:v>
      </x:c>
      <x:c r="E27" s="12" t="n">
        <x:v>0</x:v>
      </x:c>
      <x:c r="F27" s="12" t="n">
        <x:v>0</x:v>
      </x:c>
      <x:c r="G27" s="13" t="n">
        <x:f>$C$8*D27</x:f>
        <x:v>69.903518581125</x:v>
      </x:c>
      <x:c r="H27" s="13" t="n">
        <x:f>G27*(1+(F27-E27)/(1+E27)*IF(F27&lt;E27,$C$9,$C$10))</x:f>
        <x:v>69.903518581125</x:v>
      </x:c>
      <x:c r="I27" s="13" t="n">
        <x:f>G27-H27</x:f>
        <x:v>0</x:v>
      </x:c>
      <x:c r="J27" s="13" t="n">
        <x:f>$D$8*D27</x:f>
        <x:v>94.86906093152679</x:v>
      </x:c>
      <x:c r="K27" s="13" t="n">
        <x:f>J27*(1+(F27-E27)/(1+E27)*IF(F27&lt;E27,$D$9,$D$10))</x:f>
        <x:v>94.86906093152679</x:v>
      </x:c>
      <x:c r="L27" s="13" t="n">
        <x:f>J27-K27</x:f>
        <x:v>0</x:v>
      </x:c>
      <x:c r="M27" s="2"/>
      <x:c r="N27" s="2"/>
    </x:row>
    <x:row r="28" ht="35" customHeight="1">
      <x:c r="A28" s="18" t="str">
        <x:v>Restauration et cantines</x:v>
      </x:c>
      <x:c r="B28" s="18" t="str">
        <x:v>COICOP 111</x:v>
      </x:c>
      <x:c r="C28" s="11" t="n">
        <x:v>2617</x:v>
      </x:c>
      <x:c r="D28" s="12" t="n">
        <x:f>C28/SUM($C$17:$C$37)</x:f>
        <x:v>0.06805710867812655</x:v>
      </x:c>
      <x:c r="E28" s="12" t="n">
        <x:v>0.1</x:v>
      </x:c>
      <x:c r="F28" s="12" t="n">
        <x:v>0.1</x:v>
      </x:c>
      <x:c r="G28" s="13" t="n">
        <x:f>$C$8*D28</x:f>
        <x:v>190.55990429875433</x:v>
      </x:c>
      <x:c r="H28" s="13" t="n">
        <x:f>G28*(1+(F28-E28)/(1+E28)*IF(F28&lt;E28,$C$9,$C$10))</x:f>
        <x:v>190.55990429875433</x:v>
      </x:c>
      <x:c r="I28" s="13" t="n">
        <x:f>G28-H28</x:f>
        <x:v>0</x:v>
      </x:c>
      <x:c r="J28" s="13" t="n">
        <x:f>$D$8*D28</x:f>
        <x:v>258.61701297688086</x:v>
      </x:c>
      <x:c r="K28" s="13" t="n">
        <x:f>J28*(1+(F28-E28)/(1+E28)*IF(F28&lt;E28,$D$9,$D$10))</x:f>
        <x:v>258.61701297688086</x:v>
      </x:c>
      <x:c r="L28" s="13" t="n">
        <x:f>J28-K28</x:f>
        <x:v>0</x:v>
      </x:c>
      <x:c r="M28" s="2"/>
      <x:c r="N28" s="2"/>
    </x:row>
    <x:row r="29" ht="35" customHeight="1">
      <x:c r="A29" s="18" t="str">
        <x:v>Transports de voyageurs</x:v>
      </x:c>
      <x:c r="B29" s="18" t="str">
        <x:v>COICOP 073</x:v>
      </x:c>
      <x:c r="C29" s="11" t="n">
        <x:v>706</x:v>
      </x:c>
      <x:c r="D29" s="12" t="n">
        <x:f>C29/SUM($C$17:$C$37)</x:f>
        <x:v>0.018360075936857984</x:v>
      </x:c>
      <x:c r="E29" s="12" t="n">
        <x:v>0.1</x:v>
      </x:c>
      <x:c r="F29" s="12" t="n">
        <x:v>0.1</x:v>
      </x:c>
      <x:c r="G29" s="13" t="n">
        <x:f>$C$8*D29</x:f>
        <x:v>51.40821262320235</x:v>
      </x:c>
      <x:c r="H29" s="13" t="n">
        <x:f>G29*(1+(F29-E29)/(1+E29)*IF(F29&lt;E29,$C$9,$C$10))</x:f>
        <x:v>51.40821262320235</x:v>
      </x:c>
      <x:c r="I29" s="13" t="n">
        <x:f>G29-H29</x:f>
        <x:v>0</x:v>
      </x:c>
      <x:c r="J29" s="13" t="n">
        <x:f>$D$8*D29</x:f>
        <x:v>69.76828856006034</x:v>
      </x:c>
      <x:c r="K29" s="13" t="n">
        <x:f>J29*(1+(F29-E29)/(1+E29)*IF(F29&lt;E29,$D$9,$D$10))</x:f>
        <x:v>69.76828856006034</x:v>
      </x:c>
      <x:c r="L29" s="13" t="n">
        <x:f>J29-K29</x:f>
        <x:v>0</x:v>
      </x:c>
      <x:c r="M29" s="2"/>
      <x:c r="N29" s="2"/>
    </x:row>
    <x:row r="30" ht="35" customHeight="1">
      <x:c r="A30" s="18" t="str">
        <x:v>Eau et assainissement</x:v>
      </x:c>
      <x:c r="B30" s="18" t="str">
        <x:v>COICOP 0443</x:v>
      </x:c>
      <x:c r="C30" s="11" t="n">
        <x:v>374</x:v>
      </x:c>
      <x:c r="D30" s="12" t="n">
        <x:f>C30/SUM($C$17:$C$37)</x:f>
        <x:v>0.00972615920734403</x:v>
      </x:c>
      <x:c r="E30" s="12" t="n">
        <x:v>0.055</x:v>
      </x:c>
      <x:c r="F30" s="12" t="n">
        <x:v>0.21</x:v>
      </x:c>
      <x:c r="G30" s="13" t="n">
        <x:f>$C$8*D30</x:f>
        <x:v>27.233245780563287</x:v>
      </x:c>
      <x:c r="H30" s="13" t="n">
        <x:f>G30*(1+(F30-E30)/(1+E30)*IF(F30&lt;E30,$C$9,$C$10))</x:f>
        <x:v>31.234338762541782</x:v>
      </x:c>
      <x:c r="I30" s="13" t="n">
        <x:f>G30-H30</x:f>
        <x:v>-4.001092981978495</x:v>
      </x:c>
      <x:c r="J30" s="13" t="n">
        <x:f>$D$8*D30</x:f>
        <x:v>36.95940498790732</x:v>
      </x:c>
      <x:c r="K30" s="13" t="n">
        <x:f>J30*(1+(F30-E30)/(1+E30)*IF(F30&lt;E30,$D$9,$D$10))</x:f>
        <x:v>42.38945974916385</x:v>
      </x:c>
      <x:c r="L30" s="13" t="n">
        <x:f>J30-K30</x:f>
        <x:v>-5.430054761256528</x:v>
      </x:c>
      <x:c r="M30" s="2"/>
      <x:c r="N30" s="2"/>
    </x:row>
    <x:row r="31" ht="35" customHeight="1">
      <x:c r="A31" s="18" t="str">
        <x:v>Entretien courant du logement</x:v>
      </x:c>
      <x:c r="B31" s="18" t="str">
        <x:v>COICOP 043</x:v>
      </x:c>
      <x:c r="C31" s="11" t="n">
        <x:v>192</x:v>
      </x:c>
      <x:c r="D31" s="12" t="n">
        <x:f>C31/SUM($C$17:$C$37)</x:f>
        <x:v>0.004993108470080358</x:v>
      </x:c>
      <x:c r="E31" s="12" t="n">
        <x:v>0.1</x:v>
      </x:c>
      <x:c r="F31" s="12" t="n">
        <x:v>0.21</x:v>
      </x:c>
      <x:c r="G31" s="13" t="n">
        <x:f>$C$8*D31</x:f>
        <x:v>13.980703716225003</x:v>
      </x:c>
      <x:c r="H31" s="13" t="n">
        <x:f>G31*(1+(F31-E31)/(1+E31)*IF(F31&lt;E31,$C$9,$C$10))</x:f>
        <x:v>15.378774087847505</x:v>
      </x:c>
      <x:c r="I31" s="13" t="n">
        <x:f>G31-H31</x:f>
        <x:v>-1.3980703716225023</x:v>
      </x:c>
      <x:c r="J31" s="13" t="n">
        <x:f>$D$8*D31</x:f>
        <x:v>18.97381218630536</x:v>
      </x:c>
      <x:c r="K31" s="13" t="n">
        <x:f>J31*(1+(F31-E31)/(1+E31)*IF(F31&lt;E31,$D$9,$D$10))</x:f>
        <x:v>20.871193404935898</x:v>
      </x:c>
      <x:c r="L31" s="13" t="n">
        <x:f>J31-K31</x:f>
        <x:v>-1.8973812186305388</x:v>
      </x:c>
      <x:c r="M31" s="2"/>
      <x:c r="N31" s="2"/>
    </x:row>
    <x:row r="32" ht="35" customHeight="1">
      <x:c r="A32" s="18" t="str">
        <x:v>Services culturels</x:v>
      </x:c>
      <x:c r="B32" s="18" t="str">
        <x:v>COICOP 0942</x:v>
      </x:c>
      <x:c r="C32" s="11" t="n">
        <x:v>596</x:v>
      </x:c>
      <x:c r="D32" s="12" t="n">
        <x:f>C32/SUM($C$17:$C$37)</x:f>
        <x:v>0.015499440875874444</x:v>
      </x:c>
      <x:c r="E32" s="12" t="n">
        <x:v>0.055</x:v>
      </x:c>
      <x:c r="F32" s="12" t="n">
        <x:v>0.21</x:v>
      </x:c>
      <x:c r="G32" s="13" t="n">
        <x:f>$C$8*D32</x:f>
        <x:v>43.39843445244844</x:v>
      </x:c>
      <x:c r="H32" s="13" t="n">
        <x:f>G32*(1+(F32-E32)/(1+E32)*IF(F32&lt;E32,$C$9,$C$10))</x:f>
        <x:v>49.774507760628076</x:v>
      </x:c>
      <x:c r="I32" s="13" t="n">
        <x:f>G32-H32</x:f>
        <x:v>-6.376073308179635</x:v>
      </x:c>
      <x:c r="J32" s="13" t="n">
        <x:f>$D$8*D32</x:f>
        <x:v>58.89787532832289</x:v>
      </x:c>
      <x:c r="K32" s="13" t="n">
        <x:f>J32*(1+(F32-E32)/(1+E32)*IF(F32&lt;E32,$D$9,$D$10))</x:f>
        <x:v>67.5511176751381</x:v>
      </x:c>
      <x:c r="L32" s="13" t="n">
        <x:f>J32-K32</x:f>
        <x:v>-8.653242346815212</x:v>
      </x:c>
      <x:c r="M32" s="2"/>
      <x:c r="N32" s="2"/>
    </x:row>
    <x:row r="33" ht="35" customHeight="1">
      <x:c r="A33" s="18" t="str">
        <x:v>Livres</x:v>
      </x:c>
      <x:c r="B33" s="18" t="str">
        <x:v>COICOP 0951</x:v>
      </x:c>
      <x:c r="C33" s="11" t="n">
        <x:v>146</x:v>
      </x:c>
      <x:c r="D33" s="12" t="n">
        <x:f>C33/SUM($C$17:$C$37)</x:f>
        <x:v>0.0037968428991236054</x:v>
      </x:c>
      <x:c r="E33" s="12" t="n">
        <x:v>0.055</x:v>
      </x:c>
      <x:c r="F33" s="12" t="n">
        <x:v>0.21</x:v>
      </x:c>
      <x:c r="G33" s="13" t="n">
        <x:f>$C$8*D33</x:f>
        <x:v>10.631160117546095</x:v>
      </x:c>
      <x:c r="H33" s="13" t="n">
        <x:f>G33*(1+(F33-E33)/(1+E33)*IF(F33&lt;E33,$C$9,$C$10))</x:f>
        <x:v>12.193084115858555</x:v>
      </x:c>
      <x:c r="I33" s="13" t="n">
        <x:f>G33-H33</x:f>
        <x:v>-1.5619239983124604</x:v>
      </x:c>
      <x:c r="J33" s="13" t="n">
        <x:f>$D$8*D33</x:f>
        <x:v>14.4280030166697</x:v>
      </x:c>
      <x:c r="K33" s="13" t="n">
        <x:f>J33*(1+(F33-E33)/(1+E33)*IF(F33&lt;E33,$D$9,$D$10))</x:f>
        <x:v>16.547757014379467</x:v>
      </x:c>
      <x:c r="L33" s="13" t="n">
        <x:f>J33-K33</x:f>
        <x:v>-2.1197539977097666</x:v>
      </x:c>
      <x:c r="M33" s="2"/>
      <x:c r="N33" s="2"/>
    </x:row>
    <x:row r="34" ht="35" customHeight="1">
      <x:c r="A34" s="18" t="str">
        <x:v>Journaux et périodiques</x:v>
      </x:c>
      <x:c r="B34" s="18" t="str">
        <x:v>COICOP 0952</x:v>
      </x:c>
      <x:c r="C34" s="11" t="n">
        <x:v>75</x:v>
      </x:c>
      <x:c r="D34" s="12" t="n">
        <x:f>C34/SUM($C$17:$C$37)</x:f>
        <x:v>0.0019504329961251398</x:v>
      </x:c>
      <x:c r="E34" s="12" t="n">
        <x:v>0.021</x:v>
      </x:c>
      <x:c r="F34" s="12" t="n">
        <x:v>0.21</x:v>
      </x:c>
      <x:c r="G34" s="13" t="n">
        <x:f>$C$8*D34</x:f>
        <x:v>5.461212389150392</x:v>
      </x:c>
      <x:c r="H34" s="13" t="n">
        <x:f>G34*(1+(F34-E34)/(1+E34)*IF(F34&lt;E34,$C$9,$C$10))</x:f>
        <x:v>6.4721518030087895</x:v>
      </x:c>
      <x:c r="I34" s="13" t="n">
        <x:f>G34-H34</x:f>
        <x:v>-1.0109394138583978</x:v>
      </x:c>
      <x:c r="J34" s="13" t="n">
        <x:f>$D$8*D34</x:f>
        <x:v>7.4116453852755315</x:v>
      </x:c>
      <x:c r="K34" s="13" t="n">
        <x:f>J34*(1+(F34-E34)/(1+E34)*IF(F34&lt;E34,$D$9,$D$10))</x:f>
        <x:v>8.783634589797643</x:v>
      </x:c>
      <x:c r="L34" s="13" t="n">
        <x:f>J34-K34</x:f>
        <x:v>-1.3719892045221114</x:v>
      </x:c>
      <x:c r="M34" s="2"/>
      <x:c r="N34" s="2"/>
    </x:row>
    <x:row r="35" ht="35" customHeight="1">
      <x:c r="A35" s="18" t="str">
        <x:v>Hébergement</x:v>
      </x:c>
      <x:c r="B35" s="18" t="str">
        <x:v>COICOP 112</x:v>
      </x:c>
      <x:c r="C35" s="11" t="n">
        <x:v>640</x:v>
      </x:c>
      <x:c r="D35" s="12" t="n">
        <x:f>C35/SUM($C$17:$C$37)</x:f>
        <x:v>0.01664369490026786</x:v>
      </x:c>
      <x:c r="E35" s="12" t="n">
        <x:v>0.1</x:v>
      </x:c>
      <x:c r="F35" s="12" t="n">
        <x:v>0.21</x:v>
      </x:c>
      <x:c r="G35" s="13" t="n">
        <x:f>$C$8*D35</x:f>
        <x:v>46.60234572075001</x:v>
      </x:c>
      <x:c r="H35" s="13" t="n">
        <x:f>G35*(1+(F35-E35)/(1+E35)*IF(F35&lt;E35,$C$9,$C$10))</x:f>
        <x:v>51.262580292825014</x:v>
      </x:c>
      <x:c r="I35" s="13" t="n">
        <x:f>G35-H35</x:f>
        <x:v>-4.660234572075005</x:v>
      </x:c>
      <x:c r="J35" s="13" t="n">
        <x:f>$D$8*D35</x:f>
        <x:v>63.24604062101787</x:v>
      </x:c>
      <x:c r="K35" s="13" t="n">
        <x:f>J35*(1+(F35-E35)/(1+E35)*IF(F35&lt;E35,$D$9,$D$10))</x:f>
        <x:v>69.57064468311967</x:v>
      </x:c>
      <x:c r="L35" s="13" t="n">
        <x:f>J35-K35</x:f>
        <x:v>-6.324604062101798</x:v>
      </x:c>
      <x:c r="M35" s="2"/>
      <x:c r="N35" s="2"/>
    </x:row>
    <x:row r="36" ht="35" customHeight="1">
      <x:c r="A36" s="18" t="str">
        <x:v>Jeux de hasard</x:v>
      </x:c>
      <x:c r="B36" s="18" t="str">
        <x:v>COICOP 0943</x:v>
      </x:c>
      <x:c r="C36" s="11" t="n">
        <x:v>43</x:v>
      </x:c>
      <x:c r="D36" s="12" t="n">
        <x:f>C36/SUM($C$17:$C$37)</x:f>
        <x:v>0.0011182482511117467</x:v>
      </x:c>
      <x:c r="E36" s="12" t="n">
        <x:v>0</x:v>
      </x:c>
      <x:c r="F36" s="12" t="n">
        <x:v>0</x:v>
      </x:c>
      <x:c r="G36" s="13" t="n">
        <x:f>$C$8*D36</x:f>
        <x:v>3.131095103112891</x:v>
      </x:c>
      <x:c r="H36" s="13" t="n">
        <x:f>G36*(1+(F36-E36)/(1+E36)*IF(F36&lt;E36,$C$9,$C$10))</x:f>
        <x:v>3.131095103112891</x:v>
      </x:c>
      <x:c r="I36" s="13" t="n">
        <x:f>G36-H36</x:f>
        <x:v>0</x:v>
      </x:c>
      <x:c r="J36" s="13" t="n">
        <x:f>$D$8*D36</x:f>
        <x:v>4.249343354224638</x:v>
      </x:c>
      <x:c r="K36" s="13" t="n">
        <x:f>J36*(1+(F36-E36)/(1+E36)*IF(F36&lt;E36,$D$9,$D$10))</x:f>
        <x:v>4.249343354224638</x:v>
      </x:c>
      <x:c r="L36" s="13" t="n">
        <x:f>J36-K36</x:f>
        <x:v>0</x:v>
      </x:c>
      <x:c r="M36" s="2"/>
      <x:c r="N36" s="2"/>
    </x:row>
    <x:row r="37" ht="35" customHeight="1">
      <x:c r="A37" s="18" t="str">
        <x:v>Autres dépenses de consommation</x:v>
      </x:c>
      <x:c r="B37" s="18" t="str">
        <x:v>COICOP CTOTALE − postes ci-dessus</x:v>
      </x:c>
      <x:c r="C37" s="11" t="n">
        <x:v>15795</x:v>
      </x:c>
      <x:c r="D37" s="12" t="n">
        <x:f>C37/SUM($C$17:$C$37)</x:f>
        <x:v>0.4107611889839544</x:v>
      </x:c>
      <x:c r="E37" s="12" t="n">
        <x:v>0.2</x:v>
      </x:c>
      <x:c r="F37" s="12" t="n">
        <x:v>0.21</x:v>
      </x:c>
      <x:c r="G37" s="13" t="n">
        <x:f>$C$8*D37</x:f>
        <x:v>1150.1313291550723</x:v>
      </x:c>
      <x:c r="H37" s="13" t="n">
        <x:f>G37*(1+(F37-E37)/(1+E37)*IF(F37&lt;E37,$C$9,$C$10))</x:f>
        <x:v>1159.7157568980313</x:v>
      </x:c>
      <x:c r="I37" s="13" t="n">
        <x:f>G37-H37</x:f>
        <x:v>-9.584427742958951</x:v>
      </x:c>
      <x:c r="J37" s="13" t="n">
        <x:f>$D$8*D37</x:f>
        <x:v>1560.8925181390268</x:v>
      </x:c>
      <x:c r="K37" s="13" t="n">
        <x:f>J37*(1+(F37-E37)/(1+E37)*IF(F37&lt;E37,$D$9,$D$10))</x:f>
        <x:v>1573.8999557901852</x:v>
      </x:c>
      <x:c r="L37" s="13" t="n">
        <x:f>J37-K37</x:f>
        <x:v>-13.007437651158398</x:v>
      </x:c>
      <x:c r="M37" s="2"/>
      <x:c r="N37" s="2"/>
    </x:row>
    <x:row r="38" ht="23" customHeight="1">
      <x:c r="A38" s="14" t="str">
        <x:v>Total de consommation</x:v>
      </x:c>
      <x:c r="B38" s="14"/>
      <x:c r="C38" s="15" t="n">
        <x:f>SUM(C17:C37)</x:f>
        <x:v>38453</x:v>
      </x:c>
      <x:c r="D38" s="16" t="n">
        <x:f>SUM(D17:D37)</x:f>
        <x:v>0.9999999999999999</x:v>
      </x:c>
      <x:c r="E38" s="14"/>
      <x:c r="F38" s="14"/>
      <x:c r="G38" s="17" t="n">
        <x:f>SUM(G17:G37)</x:f>
        <x:v>2800</x:v>
      </x:c>
      <x:c r="H38" s="17" t="n">
        <x:f>SUM(H17:H37)</x:f>
        <x:v>2802.9469503169958</x:v>
      </x:c>
      <x:c r="I38" s="17" t="n">
        <x:f>SUM(I17:I37)</x:f>
        <x:v>-2.9469503169963964</x:v>
      </x:c>
      <x:c r="J38" s="17" t="n">
        <x:f>SUM(J17:J37)</x:f>
        <x:v>3800</x:v>
      </x:c>
      <x:c r="K38" s="17" t="n">
        <x:f>SUM(K17:K37)</x:f>
        <x:v>3803.9994325730663</x:v>
      </x:c>
      <x:c r="L38" s="17" t="n">
        <x:f>SUM(L17:L37)</x:f>
        <x:v>-3.9994325730664038</x:v>
      </x:c>
      <x:c r="M38" s="2"/>
      <x:c r="N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34" customHeight="1">
      <x:c r="A42" s="6" t="str">
        <x:v>Sensibilité à budget inchangé</x:v>
      </x:c>
      <x:c r="B42" s="6" t="str">
        <x:v>Méthode</x:v>
      </x:c>
      <x:c r="C42" s="6" t="str">
        <x:v>Deux SMIC</x:v>
      </x:c>
      <x:c r="D42" s="6" t="str">
        <x:v>Deux salaires médians</x:v>
      </x:c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50" customHeight="1">
      <x:c r="A43" s="18" t="str">
        <x:v>Structure historique et conventions</x:v>
      </x:c>
      <x:c r="B43" s="18" t="str">
        <x:v>Modèle principal</x:v>
      </x:c>
      <x:c r="C43" s="13" t="n">
        <x:f>I38</x:f>
        <x:v>-2.9469503169963964</x:v>
      </x:c>
      <x:c r="D43" s="13" t="n">
        <x:f>L38</x:f>
        <x:v>-3.9994325730664038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50" customHeight="1">
      <x:c r="A44" s="18" t="str">
        <x:v>Baisses répercutées à 50 %, hausses à 100 %</x:v>
      </x:c>
      <x:c r="B44" s="18" t="str">
        <x:v>Asymétrie des prix</x:v>
      </x:c>
      <x:c r="C44" s="13" t="n">
        <x:f>SUMIF(I17:I37,"&gt;0",I17:I37)*0.5+SUMIF(I17:I37,"&lt;0",I17:I37)</x:f>
        <x:v>-16.832937854714622</x:v>
      </x:c>
      <x:c r="D44" s="13" t="n">
        <x:f>SUMIF(L17:L37,"&gt;0",L17:L37)*0.5+SUMIF(L17:L37,"&lt;0",L17:L37)</x:f>
        <x:v>-22.844701374255433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50" customHeight="1">
      <x:c r="A45" s="18" t="str">
        <x:v>Sans carburant</x:v>
      </x:c>
      <x:c r="B45" s="18" t="str">
        <x:v>Dépense transférée aux autres achats à 20 %</x:v>
      </x:c>
      <x:c r="C45" s="13" t="n">
        <x:f>I38-I20-G20*($F$37-$E$37)/(1+$E$37)*C10</x:f>
        <x:v>-18.22924298596891</x:v>
      </x:c>
      <x:c r="D45" s="13" t="n">
        <x:f>L38-L20-J20*($F$37-$E$37)/(1+$E$37)*D10</x:f>
        <x:v>-24.739686909529098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50" customHeight="1">
      <x:c r="A46" s="18" t="str">
        <x:v>Énergie et carburant élevés</x:v>
      </x:c>
      <x:c r="B46" s="18" t="str">
        <x:v>Complément prélevé sur les autres achats à 20 %</x:v>
      </x:c>
      <x:c r="C46" s="13" t="n">
        <x:f>I38-SUM(I18:I20)+(C11+C12)*($E$18-$F$18)/(1+$E$18)*C9+((C11+C12)-SUM(G18:G20))*($F$37-$E$37)/(1+$E$37)*C10</x:f>
        <x:v>23.51770764010038</x:v>
      </x:c>
      <x:c r="D46" s="13" t="n">
        <x:f>L38-SUM(L18:L20)+(D11+D12)*($E$18-$F$18)/(1+$E$18)*D9+((D11+D12)-SUM(J18:J20))*($F$37-$E$37)/(1+$E$37)*D10</x:f>
        <x:v>24.327603225850645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50" customHeight="1">
      <x:c r="A47" s="18" t="str">
        <x:v>Carburant : seulement 90 % du poste éligible</x:v>
      </x:c>
      <x:c r="B47" s="18" t="str">
        <x:v>10 % restant passe de 20 à 21 %</x:v>
      </x:c>
      <x:c r="C47" s="13" t="n">
        <x:f>I38-0.1*I20-0.1*G20*($F$37-$E$37)/(1+$E$37)*C10</x:f>
        <x:v>-4.475179583893647</x:v>
      </x:c>
      <x:c r="D47" s="13" t="n">
        <x:f>L38-0.1*L20-0.1*J20*($F$37-$E$37)/(1+$E$37)*D10</x:f>
        <x:v>-6.0734580067126736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50" customHeight="1">
      <x:c r="A48" s="18" t="str">
        <x:v>Eau et culture : départ conventionnel à 10 %</x:v>
      </x:c>
      <x:c r="B48" s="18" t="str">
        <x:v>Alternative aux conventions défavorables à 5,5 %</x:v>
      </x:c>
      <x:c r="C48" s="13" t="n">
        <x:f>I38+G30*((1+$F$30)/(1+$E$30)-(1+$F$30)/1.1)*C10+G32*((1+$F$32)/(1+$E$32)-(1+$F$32)/1.1)*C10</x:f>
        <x:v>0.3670479498605663</x:v>
      </x:c>
      <x:c r="D48" s="13" t="n">
        <x:f>L38+J30*((1+$F$30)/(1+$E$30)-(1+$F$30)/1.1)*D10+J32*((1+$F$32)/(1+$E$32)-(1+$F$32)/1.1)*D10</x:f>
        <x:v>0.49813650338233195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5" hidden="0" customWidth="1"/>
    <x:col min="3" max="3" width="100" hidden="0" customWidth="1"/>
    <x:col min="4" max="4" width="10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Données et conventions de calcul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4" customHeight="1">
      <x:c r="A4" s="6" t="str">
        <x:v>Source</x:v>
      </x:c>
      <x:c r="B4" s="6" t="str">
        <x:v>Valeur ou champ</x:v>
      </x:c>
      <x:c r="C4" s="6" t="str">
        <x:v>Précision</x:v>
      </x:c>
      <x:c r="D4" s="6" t="str">
        <x:v>Lien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5" customHeight="1">
      <x:c r="A5" s="18" t="str">
        <x:v>Référence de dépenses</x:v>
      </x:c>
      <x:c r="B5" s="18" t="n">
        <x:v>38453</x:v>
      </x:c>
      <x:c r="C5" s="18" t="str">
        <x:v>€/an 2017 — couples avec enfants, tous revenus et nombres d’enfants confondus</x:v>
      </x:c>
      <x:c r="D5" s="18" t="str">
        <x:v>https://www.insee.fr/fr/statistiques/4648335?sommaire=4648339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5" customHeight="1">
      <x:c r="A6" s="18" t="str">
        <x:v>Tableau de données</x:v>
      </x:c>
      <x:c r="B6" s="18" t="str">
        <x:v>TF105.csv</x:v>
      </x:c>
      <x:c r="C6" s="18" t="str">
        <x:v>Dépenses annuelles moyennes par type de ménage ; TYPMEN=4</x:v>
      </x:c>
      <x:c r="D6" s="18" t="str">
        <x:v>https://www.insee.fr/fr/statistiques/fichier/4648335/TF105.csv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65" customHeight="1">
      <x:c r="A7" s="18" t="str">
        <x:v>Taux courants</x:v>
      </x:c>
      <x:c r="B7" s="18" t="str">
        <x:v>France continentale</x:v>
      </x:c>
      <x:c r="C7" s="18" t="str">
        <x:v>Alimentation généralement 5,5 %, normal 20 %, taux intermédiaire 10 %, presse 2,1 %</x:v>
      </x:c>
      <x:c r="D7" s="18" t="str">
        <x:v>https://www.economie.gouv.fr/particuliers/impots-et-fiscalite/gerer-mes-autres-impots-et-taxes/tva-quels-sont-les-taux-de-votre-quotidien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65" customHeight="1">
      <x:c r="A8" s="18" t="str">
        <x:v>Électricité et gaz</x:v>
      </x:c>
      <x:c r="B8" s="18" t="str">
        <x:v>Depuis le 01/08/2025</x:v>
      </x:c>
      <x:c r="C8" s="18" t="str">
        <x:v>20 % sur abonnement et consommation ; autres taxes supposées constantes</x:v>
      </x:c>
      <x:c r="D8" s="18" t="str">
        <x:v>https://entreprendre.service-public.gouv.fr/vosdroits/F37826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65" customHeight="1">
      <x:c r="A9" s="18" t="str">
        <x:v>Soins médicaux</x:v>
      </x:c>
      <x:c r="B9" s="18" t="str">
        <x:v>Exonérations maintenues</x:v>
      </x:c>
      <x:c r="C9" s="18" t="str">
        <x:v>Ne pas appliquer une économie de TVA à une consultation déjà exonérée</x:v>
      </x:c>
      <x:c r="D9" s="18" t="str">
        <x:v>https://bofip.impots.gouv.fr/bofip/1139-PGP.html/identifiant=BOI-TVA-CHAMP-30-10-20-10-20250409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65" customHeight="1">
      <x:c r="A10" s="18" t="str">
        <x:v>SMIC net indicatif</x:v>
      </x:c>
      <x:c r="B10" s="18" t="n">
        <x:v>1477.93</x:v>
      </x:c>
      <x:c r="C10" s="18" t="str">
        <x:v>Montant mensuel à temps plein consulté le 25/10/2026 ; salaire, pas revenu disponible familial</x:v>
      </x:c>
      <x:c r="D10" s="18" t="str">
        <x:v>https://www.service-public.gouv.fr/particuliers/vosdroits/F2300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65" customHeight="1">
      <x:c r="A11" s="18" t="str">
        <x:v>Salaire médian privé</x:v>
      </x:c>
      <x:c r="B11" s="18" t="n">
        <x:v>2190</x:v>
      </x:c>
      <x:c r="C11" s="18" t="str">
        <x:v>Net mensuel en EQTP, année 2024, publication octobre 2025 ; pas un salaire médian 2026</x:v>
      </x:c>
      <x:c r="D11" s="18" t="str">
        <x:v>https://www.insee.fr/fr/statistiques/8657156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65" customHeight="1">
      <x:c r="A12" s="18" t="str">
        <x:v>Projet France 2040</x:v>
      </x:c>
      <x:c r="B12" s="18" t="str">
        <x:v>Chapitre 8 validé</x:v>
      </x:c>
      <x:c r="C12" s="18" t="str">
        <x:v>Architecture retenue 2,1 / 6 / 10 / 21 ; application supposée autorisée</x:v>
      </x:c>
      <x:c r="D12" s="18" t="str">
        <x:v>FRANCE_2040_CHAPITRE_08_PROPOSITION_01.md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34" customHeight="1">
      <x:c r="A15" s="6" t="str">
        <x:v>Poste de calcul</x:v>
      </x:c>
      <x:c r="B15" s="6" t="str">
        <x:v>Code Insee</x:v>
      </x:c>
      <x:c r="C15" s="6" t="str">
        <x:v>Convention et limite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65" customHeight="1">
      <x:c r="A16" s="18" t="str">
        <x:v>Alimentation et boissons sans alcool</x:v>
      </x:c>
      <x:c r="B16" s="18" t="str">
        <x:v>COICOP 01</x:v>
      </x:c>
      <x:c r="C16" s="18" t="str">
        <x:v>Convention : tout le poste à 5,5 % puis 6 %. Exceptions alimentaires non ventilées ; gains éventuels sur produits à 20 % non comptés.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65" customHeight="1">
      <x:c r="A17" s="18" t="str">
        <x:v>Énergie logement hors combustibles solides</x:v>
      </x:c>
      <x:c r="B17" s="18" t="str">
        <x:v>COICOP 045 − 045A</x:v>
      </x:c>
      <x:c r="C17" s="18" t="str">
        <x:v>Convention : poste hors solides traité à 20 %, puis 6 % ; abonnement inclus. Pas une observation des factures 2026.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65" customHeight="1">
      <x:c r="A18" s="18" t="str">
        <x:v>Combustibles solides</x:v>
      </x:c>
      <x:c r="B18" s="18" t="str">
        <x:v>COICOP 045A</x:v>
      </x:c>
      <x:c r="C18" s="18" t="str">
        <x:v>Convention simplifiée bois de chauffage : 10 % puis 6 %. Autres combustibles possibles.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65" customHeight="1">
      <x:c r="A19" s="18" t="str">
        <x:v>Carburants et lubrifiants</x:v>
      </x:c>
      <x:c r="B19" s="18" t="str">
        <x:v>COICOP 0722</x:v>
      </x:c>
      <x:c r="C19" s="18" t="str">
        <x:v>Proxy statistique : le poste contient aussi huiles, lubrifiants et électricité. Réduction appliquée à tout le poste ; sensibilité à 90 % dans Résultats.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65" customHeight="1">
      <x:c r="A20" s="18" t="str">
        <x:v>Santé à la charge des ménages</x:v>
      </x:c>
      <x:c r="B20" s="18" t="str">
        <x:v>COICOP 06</x:v>
      </x:c>
      <x:c r="C20" s="18" t="str">
        <x:v>Aucun gain imputé faute de ventilation entre soins exonérés, produits déjà à 2,1 % et autres biens. Ce zéro est une convention conservatrice, pas une preuve de neutralité de toute la santé.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65" customHeight="1">
      <x:c r="A21" s="18" t="str">
        <x:v>Loyers nets des aides</x:v>
      </x:c>
      <x:c r="B21" s="18" t="str">
        <x:v>COICOP 041</x:v>
      </x:c>
      <x:c r="C21" s="18" t="str">
        <x:v>Convention : location résidentielle exonérée, inchangée. Aucun remboursement de crédit inclus.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65" customHeight="1">
      <x:c r="A22" s="18" t="str">
        <x:v>Charges collectives du logement</x:v>
      </x:c>
      <x:c r="B22" s="18" t="str">
        <x:v>COICOP 0444</x:v>
      </x:c>
      <x:c r="C22" s="18" t="str">
        <x:v>Poste mixte non ventilé : effet non chiffré et fixé à zéro dans le calcul conventionnel ; ce n’est pas une exonération générale.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65" customHeight="1">
      <x:c r="A23" s="18" t="str">
        <x:v>Assurances</x:v>
      </x:c>
      <x:c r="B23" s="18" t="str">
        <x:v>COICOP 125</x:v>
      </x:c>
      <x:c r="C23" s="18" t="str">
        <x:v>Exonération TVA maintenue ; autres taxes non modifiées.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65" customHeight="1">
      <x:c r="A24" s="18" t="str">
        <x:v>Services financiers</x:v>
      </x:c>
      <x:c r="B24" s="18" t="str">
        <x:v>COICOP 126</x:v>
      </x:c>
      <x:c r="C24" s="18" t="str">
        <x:v>Convention simplifiée de maintien, sans ventilation des frais taxables.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65" customHeight="1">
      <x:c r="A25" s="18" t="str">
        <x:v>Enseignement</x:v>
      </x:c>
      <x:c r="B25" s="18" t="str">
        <x:v>COICOP 10</x:v>
      </x:c>
      <x:c r="C25" s="18" t="str">
        <x:v>Convention de maintien des exonérations ; certains services privés taxables ne sont pas distingués.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65" customHeight="1">
      <x:c r="A26" s="18" t="str">
        <x:v>Protection sociale et garde</x:v>
      </x:c>
      <x:c r="B26" s="18" t="str">
        <x:v>COICOP 124</x:v>
      </x:c>
      <x:c r="C26" s="18" t="str">
        <x:v>Convention simplifiée de maintien des exonérations ; champ précis à vérifier.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65" customHeight="1">
      <x:c r="A27" s="18" t="str">
        <x:v>Restauration et cantines</x:v>
      </x:c>
      <x:c r="B27" s="18" t="str">
        <x:v>COICOP 111</x:v>
      </x:c>
      <x:c r="C27" s="18" t="str">
        <x:v>Convention : poste maintenu à 10 %. Boissons alcoolisées, franchises et exonérations de cantines non ventilées.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65" customHeight="1">
      <x:c r="A28" s="18" t="str">
        <x:v>Transports de voyageurs</x:v>
      </x:c>
      <x:c r="B28" s="18" t="str">
        <x:v>COICOP 073</x:v>
      </x:c>
      <x:c r="C28" s="18" t="str">
        <x:v>Maintien à 10 % dans le projet ; cas internationaux et exonérés ne sont pas ventilés, sans effet dans cette ligne.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65" customHeight="1">
      <x:c r="A29" s="18" t="str">
        <x:v>Eau et assainissement</x:v>
      </x:c>
      <x:c r="B29" s="18" t="str">
        <x:v>COICOP 0443</x:v>
      </x:c>
      <x:c r="C29" s="18" t="str">
        <x:v>Convention défavorable : toute la facture à 5,5 % puis 21 %, eau hors première nécessité à 6 %. L’assainissement peut être à 10 %. Cette convention n’est pas un nouvel arbitrage de périmètre.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65" customHeight="1">
      <x:c r="A30" s="18" t="str">
        <x:v>Entretien courant du logement</x:v>
      </x:c>
      <x:c r="B30" s="18" t="str">
        <x:v>COICOP 043</x:v>
      </x:c>
      <x:c r="C30" s="18" t="str">
        <x:v>Convention : tout le poste à 10 % puis 21 % ; comprend des achats qui peuvent déjà relever de 20 %. Gros travaux exclus de BDF consommation.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65" customHeight="1">
      <x:c r="A31" s="18" t="str">
        <x:v>Services culturels</x:v>
      </x:c>
      <x:c r="B31" s="18" t="str">
        <x:v>COICOP 0942</x:v>
      </x:c>
      <x:c r="C31" s="18" t="str">
        <x:v>Convention défavorable : tous à 5,5 % puis 21 %. Le poste inclut aussi des services à 10 %, 20 % ou exonérés. Sensibilité explicite dans Résultats.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65" customHeight="1">
      <x:c r="A32" s="18" t="str">
        <x:v>Livres</x:v>
      </x:c>
      <x:c r="B32" s="18" t="str">
        <x:v>COICOP 0951</x:v>
      </x:c>
      <x:c r="C32" s="18" t="str">
        <x:v>5,5 % puis 21 % selon lecture littérale du projet ; confirmer le périmètre final.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65" customHeight="1">
      <x:c r="A33" s="18" t="str">
        <x:v>Journaux et périodiques</x:v>
      </x:c>
      <x:c r="B33" s="18" t="str">
        <x:v>COICOP 0952</x:v>
      </x:c>
      <x:c r="C33" s="18" t="str">
        <x:v>2,1 % puis 21 % selon lecture littérale du projet ; confirmer le périmètre final.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65" customHeight="1">
      <x:c r="A34" s="18" t="str">
        <x:v>Hébergement</x:v>
      </x:c>
      <x:c r="B34" s="18" t="str">
        <x:v>COICOP 112</x:v>
      </x:c>
      <x:c r="C34" s="18" t="str">
        <x:v>Convention : hébergement taxable à 10 % puis 21 % ; pas le loyer résidentiel.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65" customHeight="1">
      <x:c r="A35" s="18" t="str">
        <x:v>Jeux de hasard</x:v>
      </x:c>
      <x:c r="B35" s="18" t="str">
        <x:v>COICOP 0943</x:v>
      </x:c>
      <x:c r="C35" s="18" t="str">
        <x:v>Pas de changement de TVA imputé ; autres prélèvements non modifiés.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65" customHeight="1">
      <x:c r="A36" s="18" t="str">
        <x:v>Autres dépenses de consommation</x:v>
      </x:c>
      <x:c r="B36" s="18" t="str">
        <x:v>COICOP CTOTALE − postes ci-dessus</x:v>
      </x:c>
      <x:c r="C36" s="18" t="str">
        <x:v>Convention : solde à 20 % puis 21 %. Poste mixte, notamment véhicules d’occasion, services domestiques et voyages à forfait : pas une ventilation fiscale officielle.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3" customHeight="1">
      <x:c r="A39" s="2" t="str">
        <x:v>Règle : prix après = prix avant × (1 + TVA projet) / (1 + TVA départ).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A40" s="2" t="str">
        <x:v>Le changement de consommation, l’inflation 2017–2026 et la nouvelle rémunération du travail ne sont pas simulés.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A41" s="2" t="str">
        <x:v>Le solde de 41,1 % du panier est conventionnellement classé 20 → 21 %. Un recalage fiscal détaillé est nécessaire.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3" customHeight="1">
      <x:c r="A42" s="2" t="str">
        <x:v>Gros travaux et remboursements d’emprunt exclus du total de consommation ; effets annuels ponctuels non couverts.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34" customHeight="1">
      <x:c r="A45" s="6" t="str">
        <x:v>Nouvelle donnée</x:v>
      </x:c>
      <x:c r="B45" s="6" t="str">
        <x:v>Valeur</x:v>
      </x:c>
      <x:c r="C45" s="6" t="str">
        <x:v>Statut</x:v>
      </x:c>
      <x:c r="D45" s="6" t="str">
        <x:v>Source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75" customHeight="1">
      <x:c r="A46" s="18" t="str">
        <x:v>Distance annuelle</x:v>
      </x:c>
      <x:c r="B46" s="18" t="n">
        <x:v>11600</x:v>
      </x:c>
      <x:c r="C46" s="18" t="str">
        <x:v>Hypothèse auteur ; SDES observe 11 622 km par voiture particulière en 2024</x:v>
      </x:c>
      <x:c r="D46" s="18" t="str">
        <x:v>https://www.statistiques.developpement-durable.gouv.fr/sites/default/files/2025-11/statistiques_sdes_datalab_143_bilan_transports_2024_novembre2025.pdf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75" customHeight="1">
      <x:c r="A47" s="18" t="str">
        <x:v>Prix du litre</x:v>
      </x:c>
      <x:c r="B47" s="18" t="n">
        <x:v>2.3</x:v>
      </x:c>
      <x:c r="C47" s="18" t="str">
        <x:v>Prix de référence fourni par l’auteur ; pas labellisé moyenne nationale vérifiée</x:v>
      </x:c>
      <x:c r="D47" s="18" t="str">
        <x:v>Échange auteur du 25/10/2026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75" customHeight="1">
      <x:c r="A48" s="18" t="str">
        <x:v>Consommation centrale</x:v>
      </x:c>
      <x:c r="B48" s="18" t="n">
        <x:v>6.5</x:v>
      </x:c>
      <x:c r="C48" s="18" t="str">
        <x:v>Hypothèse ajoutée et modifiable ; sensibilités 5 et 8 L/100 km</x:v>
      </x:c>
      <x:c r="D48" s="18" t="str">
        <x:v>Hypothèse de simulation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75" customHeight="1">
      <x:c r="A49" s="18" t="str">
        <x:v>Fioul / gaz / électricité</x:v>
      </x:c>
      <x:c r="B49" s="18" t="str">
        <x:v>1800 / 1900 / 2500 €/an</x:v>
      </x:c>
      <x:c r="C49" s="18" t="str">
        <x:v>Factures fournies par l’auteur ; ne sont pas présentées comme des moyennes officielles certifiées</x:v>
      </x:c>
      <x:c r="D49" s="18" t="str">
        <x:v>Échange auteur du 25/10/2026</x:v>
      </x:c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75" customHeight="1">
      <x:c r="A50" s="18" t="str">
        <x:v>Motorisation</x:v>
      </x:c>
      <x:c r="B50" s="27" t="n">
        <x:v>0.85</x:v>
      </x:c>
      <x:c r="C50" s="18" t="str">
        <x:v>Hypothèse auteur. Insee : 81,2 % des ménages ont au moins une voiture en 2023, champ France ; pas 85 % des personnes</x:v>
      </x:c>
      <x:c r="D50" s="18" t="str">
        <x:v>https://www.insee.fr/fr/statistiques/2011101?geo=FRANCE-1-1</x:v>
      </x:c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75" customHeight="1">
      <x:c r="A51" s="18" t="str">
        <x:v>Gaz novembre 2026</x:v>
      </x:c>
      <x:c r="B51" s="27" t="n">
        <x:v>0.066</x:v>
      </x:c>
      <x:c r="C51" s="18" t="str">
        <x:v>PRVG +6,6 % moyen, offres indexées concernées ; pas appliqué à toute une année de facture</x:v>
      </x:c>
      <x:c r="D51" s="18" t="str">
        <x:v>https://www.cre.fr/actualites/nos-lettres-dinformation/le-prix-repere-de-vente-de-gaz-augmente-de-66-ttc-au-1er-novembre-2026.html</x:v>
      </x:c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75" customHeight="1">
      <x:c r="A52" s="18" t="str">
        <x:v>Énergie ménages 2024</x:v>
      </x:c>
      <x:c r="B52" s="18" t="str">
        <x:v>2071 + 1673 €/an</x:v>
      </x:c>
      <x:c r="C52" s="18" t="str">
        <x:v>Repère SDES logement + carburants, tous ménages ; périmètre différent des factures par chauffage</x:v>
      </x:c>
      <x:c r="D52" s="18" t="str">
        <x:v>https://portail.documentation.developpement-durable.gouv.fr/pub/MPDOUV00268844-bilan-energetique-france-pour-2024.html</x:v>
      </x:c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</x:sheetData>
  <x:pageMargins left="0.7" right="0.7" top="0.75" bottom="0.75" header="0.3" footer="0.3"/>
</x:worksheet>
</file>